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Character Sheet" sheetId="1" r:id="rId3"/>
    <sheet state="visible" name="Weapons &amp; Gear" sheetId="2" r:id="rId4"/>
    <sheet state="visible" name="Armour &amp; Shields" sheetId="3" r:id="rId5"/>
    <sheet state="visible" name="Skills &amp; Exploits" sheetId="4" r:id="rId6"/>
    <sheet state="visible" name="Stat Block" sheetId="5" r:id="rId7"/>
    <sheet state="visible" name="Race Modification" sheetId="6" r:id="rId8"/>
    <sheet state="visible" name="Stat Modification" sheetId="7" r:id="rId9"/>
    <sheet state="visible" name="Changelog" sheetId="8" r:id="rId10"/>
  </sheets>
  <definedNames/>
  <calcPr/>
</workbook>
</file>

<file path=xl/comments1.xml><?xml version="1.0" encoding="utf-8"?>
<comments xmlns:r="http://schemas.openxmlformats.org/officeDocument/2006/relationships" xmlns="http://schemas.openxmlformats.org/spreadsheetml/2006/main">
  <authors>
    <author/>
  </authors>
  <commentList>
    <comment authorId="0" ref="D2">
      <text>
        <t xml:space="preserve">This is your type. It will usually not change unless you are an android or have used all of your cybernetic slots.</t>
      </text>
    </comment>
    <comment authorId="0" ref="H2">
      <text>
        <t xml:space="preserve">Any Vulnerabilities your species may have.</t>
      </text>
    </comment>
    <comment authorId="0" ref="J3">
      <text>
        <t xml:space="preserve">Select race first.</t>
      </text>
    </comment>
    <comment authorId="0" ref="T4">
      <text>
        <t xml:space="preserve">Do not forget to set your hook attribute.</t>
      </text>
    </comment>
    <comment authorId="0" ref="L5">
      <text>
        <t xml:space="preserve">Here you can record all of your Exploits. You can also write down the description of your exploits for easier reference. 
Don't worry about the sheet resizing to fit your description, although copy pasting from the book will often have formatting problems; consider removing the stacked text spaces until it is a single line. (Feel free to reduce font size and/or merge as needed as well.)</t>
      </text>
    </comment>
    <comment authorId="0" ref="C6">
      <text>
        <t xml:space="preserve">This is your grade, take note of it and your maximum dice pool as per the rules. Only some things take it into account, but it is up to the player when using things like Attribute+Skill. Your attack dice pools will not be limited by it, so reduce it to this grade if applicable.</t>
      </text>
    </comment>
    <comment authorId="0" ref="F7">
      <text>
        <t xml:space="preserve">Do not forget to select a Homeworld after selecting your Race. After selecting a Homeworld, select a skill from the list above.</t>
      </text>
    </comment>
    <comment authorId="0" ref="C10">
      <text>
        <t xml:space="preserve">This is your Dicepool for the Attribute above.</t>
      </text>
    </comment>
    <comment authorId="0" ref="C12">
      <text>
        <t xml:space="preserve">This will directly increase the dicepool</t>
      </text>
    </comment>
    <comment authorId="0" ref="AQ12">
      <text>
        <t xml:space="preserve">You may also type skills from other sources here, that are not from your careers. There should hopefully be room for them here.</t>
      </text>
    </comment>
    <comment authorId="0" ref="C13">
      <text>
        <t xml:space="preserve">These dark blue boxes are auto calculated from everything else. Don't edit them.</t>
      </text>
    </comment>
    <comment authorId="0" ref="C15">
      <text>
        <t xml:space="preserve">If you are a human, you will want to write your +1 and +2 attributes In these bright blue boxes. Otherwise, if there is anything that wasn't accounted for in the auto calculation, such as exploits from careers, write them here. (or type 50 in everything to see how other stuff changes for fun.)</t>
      </text>
    </comment>
    <comment authorId="0" ref="B23">
      <text>
        <t xml:space="preserve">This represents N for Normal and C for Cinematic, it affects your health and resolve calculation.</t>
      </text>
    </comment>
    <comment authorId="0" ref="X25">
      <text>
        <t xml:space="preserve">Below are your skills. You can write skills that aren't already in the dark blue boxes in the lower left hand corner, in the bright blue area. Otherwise, everything here shouldn't be messed with. You can see what skills are being used as Derived Skills on the right.</t>
      </text>
    </comment>
    <comment authorId="0" ref="AG25">
      <text>
        <t xml:space="preserve">This tallies up all of the attributes here.</t>
      </text>
    </comment>
    <comment authorId="0" ref="AP25">
      <text>
        <t xml:space="preserve">Write your species skills here. Then proceed to choose your careers above. Be sure to capitalize skills. You choose 2 each career, they must be different skills.</t>
      </text>
    </comment>
    <comment authorId="0" ref="H26">
      <text>
        <t xml:space="preserve">Typing "Equal" into the fields for the various movement types will make them equal your SPEED.</t>
      </text>
    </comment>
    <comment authorId="0" ref="X26">
      <text>
        <t xml:space="preserve">Try to keep your derived skills here and not on the skills and exploits page.</t>
      </text>
    </comment>
    <comment authorId="0" ref="I27">
      <text>
        <t xml:space="preserve">Off Hand Weapons use the Dual Wielding rules. Their attack is calculated only with agility.</t>
      </text>
    </comment>
    <comment authorId="0" ref="Q27">
      <text>
        <t xml:space="preserve">Write about how cool you are here.</t>
      </text>
    </comment>
    <comment authorId="0" ref="AE28">
      <text>
        <t xml:space="preserve">Type your Aim or Feint here. As well as one free universal exploit.</t>
      </text>
    </comment>
    <comment authorId="0" ref="AJ28">
      <text>
        <t xml:space="preserve">If you qualify for and wish to use an Age Exploit, write it here.</t>
      </text>
    </comment>
    <comment authorId="0" ref="P32">
      <text>
        <t xml:space="preserve">For blast helmets.</t>
      </text>
    </comment>
    <comment authorId="0" ref="C34">
      <text>
        <t xml:space="preserve">Below are your attacks. These are calculated from your equipped items. Its automatically calculated.</t>
      </text>
    </comment>
    <comment authorId="0" ref="R35">
      <text>
        <t xml:space="preserve">This is for any exploits that don't fit or ones you are considering.</t>
      </text>
    </comment>
    <comment authorId="0" ref="P36">
      <text>
        <t xml:space="preserve">Your total carried weight from all gear. If you don't want to use weight as it will affect your calculation, choose "-" from the drop-down menu below. To turn it back on, switch to active. It will affect your speed and stats in a compound way, changing color as you carry more weight.</t>
      </text>
    </comment>
    <comment authorId="0" ref="P37">
      <text>
        <t xml:space="preserve">This turns off the penalties from carrying too much weight.</t>
      </text>
    </comment>
    <comment authorId="0" ref="I44">
      <text>
        <t xml:space="preserve">These are the current effects affecting you.</t>
      </text>
    </comment>
    <comment authorId="0" ref="P44">
      <text>
        <t xml:space="preserve">Your environment. Select one and then a severity. Gives the damage type it does and if its difficult terrain or not.</t>
      </text>
    </comment>
    <comment authorId="0" ref="C45">
      <text>
        <t xml:space="preserve">Skills are repeated here for easier and faster reference for those with smaller screens. (Scrolling down as opposed to scrolling across)</t>
      </text>
    </comment>
    <comment authorId="0" ref="X45">
      <text>
        <t xml:space="preserve">You can manually write skills here that you acquire outside of a career or other sources. Just be sure it is not one you already have. (Write those in the career skill field in the life path section.)</t>
      </text>
    </comment>
    <comment authorId="0" ref="X51">
      <text>
        <t xml:space="preserve">This is your Psionics Pool if you are using the Psionic Attribute. The left box is your total Psi Points, don't edit this. Keep track with the right box as you use Psionic powers. The same for the Magic Pool.</t>
      </text>
    </comment>
    <comment authorId="0" ref="S56">
      <text>
        <t xml:space="preserve">This is based off your Reputation Attribute. The field to the right will change it manually.</t>
      </text>
    </comment>
    <comment authorId="0" ref="X59">
      <text>
        <t xml:space="preserve">Languages are calculated from your LOGIC attribute. Write any you know. Typically your races language and common/basic to start with.</t>
      </text>
    </comment>
    <comment authorId="0" ref="C70">
      <text>
        <t xml:space="preserve">AGI, LOG</t>
      </text>
    </comment>
    <comment authorId="0" ref="P73">
      <text>
        <t xml:space="preserve">These two sections may not really be used for normal characters, but are included for the Stat Block for use by NPC's and perhaps in special circumstances as the GM permits. They are included regardless.</t>
      </text>
    </comment>
    <comment authorId="0" ref="P77">
      <text>
        <t xml:space="preserve">This is the Character Creation Checklist. You can use this as a reference and guide if you are newer to the game. The checklist will account for most of the things except the trait and hook. They will turn green when you have reached the required number.</t>
      </text>
    </comment>
    <comment authorId="0" ref="C87">
      <text>
        <t xml:space="preserve">This is the Cybernetics section. Here you can select one of the drop-down boxes to Install an Implant on your body. Use Qty for Skill and Memory Implants. All of the official cybernetic enhancements will affect your sheet. Custom ones added later will not.</t>
      </text>
    </comment>
    <comment authorId="0" ref="B91">
      <text>
        <t xml:space="preserve">Use this for the Skill and Memory implants. If you aren't using it, keep it at 1.</t>
      </text>
    </comment>
    <comment authorId="0" ref="C103">
      <text>
        <t xml:space="preserve">This is for your Integrated Weapon implants.</t>
      </text>
    </comment>
  </commentList>
</comments>
</file>

<file path=xl/comments2.xml><?xml version="1.0" encoding="utf-8"?>
<comments xmlns:r="http://schemas.openxmlformats.org/officeDocument/2006/relationships" xmlns="http://schemas.openxmlformats.org/spreadsheetml/2006/main">
  <authors>
    <author/>
  </authors>
  <commentList>
    <comment authorId="0" ref="U22">
      <text>
        <t xml:space="preserve">This is to alter your basic physical attack as from exploits as needed.</t>
      </text>
    </comment>
  </commentList>
</comments>
</file>

<file path=xl/comments3.xml><?xml version="1.0" encoding="utf-8"?>
<comments xmlns:r="http://schemas.openxmlformats.org/officeDocument/2006/relationships" xmlns="http://schemas.openxmlformats.org/spreadsheetml/2006/main">
  <authors>
    <author/>
  </authors>
  <commentList>
    <comment authorId="0" ref="B2">
      <text>
        <t xml:space="preserve">These two columns of skills are not calculated.</t>
      </text>
    </comment>
    <comment authorId="0" ref="E2">
      <text>
        <t xml:space="preserve">Skills here aren't used for derived statistics. Only list non-derived skills here.</t>
      </text>
    </comment>
    <comment authorId="0" ref="F2">
      <text>
        <t xml:space="preserve">These two columns of skills are not calculated.</t>
      </text>
    </comment>
    <comment authorId="0" ref="K2">
      <text>
        <t xml:space="preserve">All the room you could ever need for exploits.</t>
      </text>
    </comment>
  </commentList>
</comments>
</file>

<file path=xl/comments4.xml><?xml version="1.0" encoding="utf-8"?>
<comments xmlns:r="http://schemas.openxmlformats.org/officeDocument/2006/relationships" xmlns="http://schemas.openxmlformats.org/spreadsheetml/2006/main">
  <authors>
    <author/>
  </authors>
  <commentList>
    <comment authorId="0" ref="S1">
      <text>
        <t xml:space="preserve">Test Column please Ignore.</t>
      </text>
    </comment>
    <comment authorId="0" ref="AG1">
      <text>
        <t xml:space="preserve">Type "Equal" in the following boxes for various movement types if you want it to be equal to base SPEED. Otherwise just write the value you want it to increase by.</t>
      </text>
    </comment>
    <comment authorId="0" ref="B56">
      <text>
        <t xml:space="preserve">This row is for easier VLOOKUP cell reference.</t>
      </text>
    </comment>
  </commentList>
</comments>
</file>

<file path=xl/sharedStrings.xml><?xml version="1.0" encoding="utf-8"?>
<sst xmlns="http://schemas.openxmlformats.org/spreadsheetml/2006/main" count="3292" uniqueCount="781">
  <si>
    <t>Weapons</t>
  </si>
  <si>
    <t>Gear/Misc Primary</t>
  </si>
  <si>
    <t>Qty</t>
  </si>
  <si>
    <t>Name</t>
  </si>
  <si>
    <t>Quality</t>
  </si>
  <si>
    <t>Armour</t>
  </si>
  <si>
    <t>Skill</t>
  </si>
  <si>
    <t>Damage</t>
  </si>
  <si>
    <t>Damage Type</t>
  </si>
  <si>
    <t>Cost</t>
  </si>
  <si>
    <t>Range</t>
  </si>
  <si>
    <t>SOAK</t>
  </si>
  <si>
    <t>Size</t>
  </si>
  <si>
    <t>Resistance 1</t>
  </si>
  <si>
    <t>Weight</t>
  </si>
  <si>
    <t>Resistance 2</t>
  </si>
  <si>
    <t>Special</t>
  </si>
  <si>
    <t>Weapon Type</t>
  </si>
  <si>
    <t>Resistance 3</t>
  </si>
  <si>
    <t>Type</t>
  </si>
  <si>
    <t>Description</t>
  </si>
  <si>
    <t>Ineffective 1</t>
  </si>
  <si>
    <t>Ineffective 2</t>
  </si>
  <si>
    <t>Powered</t>
  </si>
  <si>
    <t>Standard</t>
  </si>
  <si>
    <t>Untrained</t>
  </si>
  <si>
    <t>-</t>
  </si>
  <si>
    <t>Vulnerabilities</t>
  </si>
  <si>
    <t>N.E.W. Character Sheet</t>
  </si>
  <si>
    <t>Careers</t>
  </si>
  <si>
    <t>Racial/Hook Attributes Under Dark Blue Box</t>
  </si>
  <si>
    <t>Humans will have to keep track of their selected Attributes</t>
  </si>
  <si>
    <t>Always Capitalize.</t>
  </si>
  <si>
    <t>Is a</t>
  </si>
  <si>
    <t>Select Size</t>
  </si>
  <si>
    <t>(trait)</t>
  </si>
  <si>
    <t>(age)</t>
  </si>
  <si>
    <t>(gender)</t>
  </si>
  <si>
    <t>Select Race</t>
  </si>
  <si>
    <t>Career</t>
  </si>
  <si>
    <t>who</t>
  </si>
  <si>
    <t>(hook)</t>
  </si>
  <si>
    <t>Shields</t>
  </si>
  <si>
    <t>Gauntlets</t>
  </si>
  <si>
    <t>Unarmed Modification</t>
  </si>
  <si>
    <t>DEF</t>
  </si>
  <si>
    <t>Extra Dicepool</t>
  </si>
  <si>
    <t>Extra Damage</t>
  </si>
  <si>
    <t>Exploits &amp; Traits</t>
  </si>
  <si>
    <t>Hook Attribute</t>
  </si>
  <si>
    <t>Helmets</t>
  </si>
  <si>
    <t>Gear Secondary/Other</t>
  </si>
  <si>
    <t>Grade</t>
  </si>
  <si>
    <t>Age</t>
  </si>
  <si>
    <t>Exploit</t>
  </si>
  <si>
    <t>Defense</t>
  </si>
  <si>
    <t>STR</t>
  </si>
  <si>
    <t>AGI</t>
  </si>
  <si>
    <t>END</t>
  </si>
  <si>
    <t>WIL</t>
  </si>
  <si>
    <t>INT</t>
  </si>
  <si>
    <t>LOG</t>
  </si>
  <si>
    <t>CHA</t>
  </si>
  <si>
    <t>LUC</t>
  </si>
  <si>
    <t>REP</t>
  </si>
  <si>
    <t>PSI</t>
  </si>
  <si>
    <t>MAG</t>
  </si>
  <si>
    <t>CHI</t>
  </si>
  <si>
    <t>Skill One</t>
  </si>
  <si>
    <t>Skill Two</t>
  </si>
  <si>
    <t>Max Dice Pool</t>
  </si>
  <si>
    <t>Attributes</t>
  </si>
  <si>
    <t>Select HW Skill</t>
  </si>
  <si>
    <t>Sheet made by Arthreas</t>
  </si>
  <si>
    <t>Exploits</t>
  </si>
  <si>
    <t>Select Skill</t>
  </si>
  <si>
    <t>Homeworld</t>
  </si>
  <si>
    <t>Select Homeworld</t>
  </si>
  <si>
    <t>Rank</t>
  </si>
  <si>
    <t>Dicepool</t>
  </si>
  <si>
    <t>Strength</t>
  </si>
  <si>
    <t>Agility</t>
  </si>
  <si>
    <t>Endurance</t>
  </si>
  <si>
    <t>Willpower</t>
  </si>
  <si>
    <t>Intuition</t>
  </si>
  <si>
    <t>Magic</t>
  </si>
  <si>
    <t>Logic</t>
  </si>
  <si>
    <t>Charisma</t>
  </si>
  <si>
    <t>Luck</t>
  </si>
  <si>
    <t>Reputation</t>
  </si>
  <si>
    <t>Psionics</t>
  </si>
  <si>
    <t>Chi</t>
  </si>
  <si>
    <t>INITIATIVE</t>
  </si>
  <si>
    <t>PERCEPTION</t>
  </si>
  <si>
    <t>N</t>
  </si>
  <si>
    <t>Statistics</t>
  </si>
  <si>
    <t>Melee  Defense</t>
  </si>
  <si>
    <t>Ranged Defense</t>
  </si>
  <si>
    <t>Mental Defense</t>
  </si>
  <si>
    <t>Actions</t>
  </si>
  <si>
    <t>Skills</t>
  </si>
  <si>
    <t xml:space="preserve">  Credits</t>
  </si>
  <si>
    <t>0 Credits</t>
  </si>
  <si>
    <t>Experience</t>
  </si>
  <si>
    <t>0 XP</t>
  </si>
  <si>
    <t>Luck Pool</t>
  </si>
  <si>
    <t>Species Weight</t>
  </si>
  <si>
    <t>0 lb</t>
  </si>
  <si>
    <t>HmWorld Name</t>
  </si>
  <si>
    <t>Career Skills</t>
  </si>
  <si>
    <t>Dice Pool</t>
  </si>
  <si>
    <t>Derived Skills</t>
  </si>
  <si>
    <t>Health</t>
  </si>
  <si>
    <t>Resolve</t>
  </si>
  <si>
    <t>Speed</t>
  </si>
  <si>
    <t>Climb</t>
  </si>
  <si>
    <t>Swim</t>
  </si>
  <si>
    <t>Equipped Items</t>
  </si>
  <si>
    <t>Biography</t>
  </si>
  <si>
    <t>Main Hand</t>
  </si>
  <si>
    <t>Nothing</t>
  </si>
  <si>
    <t>Universal Exploits</t>
  </si>
  <si>
    <t>Age Exploit</t>
  </si>
  <si>
    <t>Write your 3 or 4 Species Skills Here</t>
  </si>
  <si>
    <t>Off Hand</t>
  </si>
  <si>
    <t>Jump</t>
  </si>
  <si>
    <t>Carry</t>
  </si>
  <si>
    <t>High-G</t>
  </si>
  <si>
    <t>Zero-G</t>
  </si>
  <si>
    <t>Fly</t>
  </si>
  <si>
    <t>Other Weapon</t>
  </si>
  <si>
    <t>run</t>
  </si>
  <si>
    <t>spd</t>
  </si>
  <si>
    <t>clm</t>
  </si>
  <si>
    <t>swm</t>
  </si>
  <si>
    <t>zg</t>
  </si>
  <si>
    <t>hg</t>
  </si>
  <si>
    <t>fly</t>
  </si>
  <si>
    <t>meld</t>
  </si>
  <si>
    <t>Race Type</t>
  </si>
  <si>
    <t>Shield</t>
  </si>
  <si>
    <t>Adult</t>
  </si>
  <si>
    <t>Old</t>
  </si>
  <si>
    <t>n/a</t>
  </si>
  <si>
    <t>Jump Horizontal</t>
  </si>
  <si>
    <t>Jump Vertical</t>
  </si>
  <si>
    <t>Resistance (SOAK) 1</t>
  </si>
  <si>
    <t>Val</t>
  </si>
  <si>
    <t>Resistance (SOAK) 2</t>
  </si>
  <si>
    <t>Melee Defense</t>
  </si>
  <si>
    <t>SPEED</t>
  </si>
  <si>
    <t>High-g</t>
  </si>
  <si>
    <t>Low-g</t>
  </si>
  <si>
    <t>Zero-g</t>
  </si>
  <si>
    <t>Perception</t>
  </si>
  <si>
    <t>Initiative</t>
  </si>
  <si>
    <t>Unarmed Bonus</t>
  </si>
  <si>
    <t>Unarmed Type</t>
  </si>
  <si>
    <t>Carry Percent</t>
  </si>
  <si>
    <t>Vulnerability 1</t>
  </si>
  <si>
    <t>Vulnerability 2</t>
  </si>
  <si>
    <t>Immune 1</t>
  </si>
  <si>
    <t>Immune 2</t>
  </si>
  <si>
    <t>Natural Attack Name 1</t>
  </si>
  <si>
    <t>Damage Type 1</t>
  </si>
  <si>
    <t>Damage Type 2</t>
  </si>
  <si>
    <t>Melee or Ranged</t>
  </si>
  <si>
    <t>Natural Attack Name 2</t>
  </si>
  <si>
    <t>Voidanoid</t>
  </si>
  <si>
    <t>Humanoid</t>
  </si>
  <si>
    <t>Human</t>
  </si>
  <si>
    <t>Medium</t>
  </si>
  <si>
    <t>Borian</t>
  </si>
  <si>
    <t>Small</t>
  </si>
  <si>
    <t>Poison</t>
  </si>
  <si>
    <t>Ogron</t>
  </si>
  <si>
    <t>Large</t>
  </si>
  <si>
    <t>rd</t>
  </si>
  <si>
    <t>Felan</t>
  </si>
  <si>
    <t>Slashing</t>
  </si>
  <si>
    <t>Helmet</t>
  </si>
  <si>
    <t>Spartan</t>
  </si>
  <si>
    <t>Mechanoid</t>
  </si>
  <si>
    <t>Android</t>
  </si>
  <si>
    <t>Immune</t>
  </si>
  <si>
    <t>Electricity</t>
  </si>
  <si>
    <t>Ion</t>
  </si>
  <si>
    <t>Venetian</t>
  </si>
  <si>
    <t>str</t>
  </si>
  <si>
    <t>agi</t>
  </si>
  <si>
    <t>end</t>
  </si>
  <si>
    <t>wil</t>
  </si>
  <si>
    <t>int</t>
  </si>
  <si>
    <t>agi or int</t>
  </si>
  <si>
    <t>mend</t>
  </si>
  <si>
    <t>Fey</t>
  </si>
  <si>
    <t>Grand Elf</t>
  </si>
  <si>
    <t>Goblinoid</t>
  </si>
  <si>
    <t>Ogre</t>
  </si>
  <si>
    <t>Natural</t>
  </si>
  <si>
    <t>Acid</t>
  </si>
  <si>
    <t>Sylvan Elf</t>
  </si>
  <si>
    <t>Equal</t>
  </si>
  <si>
    <t>Smallfolk</t>
  </si>
  <si>
    <t>Orc</t>
  </si>
  <si>
    <t>Mountain Dwarf</t>
  </si>
  <si>
    <t>Plantoid</t>
  </si>
  <si>
    <t>Solurial</t>
  </si>
  <si>
    <t>Heat</t>
  </si>
  <si>
    <t>Lashing Vines</t>
  </si>
  <si>
    <t>Melee</t>
  </si>
  <si>
    <t>Drahzik</t>
  </si>
  <si>
    <t>Attacks</t>
  </si>
  <si>
    <t>Gauntlet</t>
  </si>
  <si>
    <t>Cold</t>
  </si>
  <si>
    <t>Crystalline</t>
  </si>
  <si>
    <t>Houseki</t>
  </si>
  <si>
    <t>Piercing</t>
  </si>
  <si>
    <t>Sonic</t>
  </si>
  <si>
    <t>Insectoid</t>
  </si>
  <si>
    <t>Pajak</t>
  </si>
  <si>
    <t>Poison Bite</t>
  </si>
  <si>
    <t>log</t>
  </si>
  <si>
    <t>cha</t>
  </si>
  <si>
    <t>luc</t>
  </si>
  <si>
    <t>rep</t>
  </si>
  <si>
    <t>psi</t>
  </si>
  <si>
    <t>Jamila</t>
  </si>
  <si>
    <t>Drain Life Force</t>
  </si>
  <si>
    <t>Psionic</t>
  </si>
  <si>
    <t>Heals self for damage done</t>
  </si>
  <si>
    <t>Zetan</t>
  </si>
  <si>
    <t>Kryte</t>
  </si>
  <si>
    <t>Metallic Kryte</t>
  </si>
  <si>
    <t>Quick Gear</t>
  </si>
  <si>
    <t xml:space="preserve">             Total Weight</t>
  </si>
  <si>
    <t>Reflective Kryte</t>
  </si>
  <si>
    <t xml:space="preserve">                                  Other Exploits</t>
  </si>
  <si>
    <t>Clone</t>
  </si>
  <si>
    <t>Belter</t>
  </si>
  <si>
    <t>lg</t>
  </si>
  <si>
    <t>mel</t>
  </si>
  <si>
    <t>Jovian</t>
  </si>
  <si>
    <t xml:space="preserve">  Quality</t>
  </si>
  <si>
    <t>Warped</t>
  </si>
  <si>
    <t>Flint Dwarf</t>
  </si>
  <si>
    <t>Jade Dwarf</t>
  </si>
  <si>
    <t>Obsidian Dwarf</t>
  </si>
  <si>
    <t>mag</t>
  </si>
  <si>
    <t>Night Elf</t>
  </si>
  <si>
    <t>Faun</t>
  </si>
  <si>
    <t>mnt</t>
  </si>
  <si>
    <t>Gremlin</t>
  </si>
  <si>
    <t>Plantoid Fey</t>
  </si>
  <si>
    <t>Spriggan</t>
  </si>
  <si>
    <t>Active</t>
  </si>
  <si>
    <t>Deva</t>
  </si>
  <si>
    <t>Holy</t>
  </si>
  <si>
    <t>Unholy</t>
  </si>
  <si>
    <t>d6</t>
  </si>
  <si>
    <t>OW</t>
  </si>
  <si>
    <t>Eladrin</t>
  </si>
  <si>
    <t>Mental Defense DP</t>
  </si>
  <si>
    <t>Tiefling</t>
  </si>
  <si>
    <t>Tauren</t>
  </si>
  <si>
    <t>Goblinoid Fey</t>
  </si>
  <si>
    <t>Goblin</t>
  </si>
  <si>
    <t>Automaton</t>
  </si>
  <si>
    <t>Clockmen</t>
  </si>
  <si>
    <t>Undead</t>
  </si>
  <si>
    <t>Revenant</t>
  </si>
  <si>
    <t>MH</t>
  </si>
  <si>
    <t>chi</t>
  </si>
  <si>
    <t>iw1</t>
  </si>
  <si>
    <t>Melee Defense DP</t>
  </si>
  <si>
    <t>iw2</t>
  </si>
  <si>
    <t>Ranged Defense DP</t>
  </si>
  <si>
    <t>Reference Data</t>
  </si>
  <si>
    <t>Status Tracker</t>
  </si>
  <si>
    <t>Environment</t>
  </si>
  <si>
    <t>acrobatics</t>
  </si>
  <si>
    <t>Select Severity</t>
  </si>
  <si>
    <t>Difficult Terrain</t>
  </si>
  <si>
    <t>Mel or</t>
  </si>
  <si>
    <t>dodging</t>
  </si>
  <si>
    <t>Select Environment</t>
  </si>
  <si>
    <t>Terrans</t>
  </si>
  <si>
    <t>Voshvek</t>
  </si>
  <si>
    <t>Aquatic</t>
  </si>
  <si>
    <t>Spectral</t>
  </si>
  <si>
    <t>Reptile</t>
  </si>
  <si>
    <t>Drakhan</t>
  </si>
  <si>
    <t>Rokhan</t>
  </si>
  <si>
    <t>Vargr</t>
  </si>
  <si>
    <t>Janoi</t>
  </si>
  <si>
    <t>Keltor</t>
  </si>
  <si>
    <t>Sylvin</t>
  </si>
  <si>
    <t>Heldyr</t>
  </si>
  <si>
    <t>Sibuna</t>
  </si>
  <si>
    <t>Avian</t>
  </si>
  <si>
    <t>Taigaru</t>
  </si>
  <si>
    <t>Viyth</t>
  </si>
  <si>
    <t>Ordonari</t>
  </si>
  <si>
    <t>Panthra</t>
  </si>
  <si>
    <t>Shado</t>
  </si>
  <si>
    <t>Qlty</t>
  </si>
  <si>
    <t>Rng</t>
  </si>
  <si>
    <t>foresight</t>
  </si>
  <si>
    <t>Flying</t>
  </si>
  <si>
    <t>axes</t>
  </si>
  <si>
    <t>OH</t>
  </si>
  <si>
    <t>boxing</t>
  </si>
  <si>
    <t>Linguistics</t>
  </si>
  <si>
    <t>SHD</t>
  </si>
  <si>
    <t>brawling</t>
  </si>
  <si>
    <t>clubs</t>
  </si>
  <si>
    <t>Psionic Points</t>
  </si>
  <si>
    <t>knives</t>
  </si>
  <si>
    <t>Disease &amp; Illness</t>
  </si>
  <si>
    <t>Fundamental Skills</t>
  </si>
  <si>
    <t>Equipment Quality</t>
  </si>
  <si>
    <t>Cybernetic Enhancements</t>
  </si>
  <si>
    <t>Homeworlds</t>
  </si>
  <si>
    <t>Damage types</t>
  </si>
  <si>
    <t>Illness</t>
  </si>
  <si>
    <t>Transmission</t>
  </si>
  <si>
    <t>Pool</t>
  </si>
  <si>
    <t>Interval</t>
  </si>
  <si>
    <t>Difficulty</t>
  </si>
  <si>
    <t>Status</t>
  </si>
  <si>
    <t>Effect</t>
  </si>
  <si>
    <t>Status Track</t>
  </si>
  <si>
    <t>Extreme Version</t>
  </si>
  <si>
    <t>Half Move</t>
  </si>
  <si>
    <t>Ranged Skills</t>
  </si>
  <si>
    <t>Melee Skills</t>
  </si>
  <si>
    <t>Value</t>
  </si>
  <si>
    <t>Enhancement</t>
  </si>
  <si>
    <t>Total Psi Points</t>
  </si>
  <si>
    <t>Current Psi Points</t>
  </si>
  <si>
    <t>martial arts</t>
  </si>
  <si>
    <t>Choose Illness</t>
  </si>
  <si>
    <t>Caustic</t>
  </si>
  <si>
    <t>Pain</t>
  </si>
  <si>
    <t>Acidic</t>
  </si>
  <si>
    <t>Rifles</t>
  </si>
  <si>
    <t>Boxing</t>
  </si>
  <si>
    <t>Acrobatics</t>
  </si>
  <si>
    <t>Concentration</t>
  </si>
  <si>
    <t>Improvised</t>
  </si>
  <si>
    <t>Select Enhancement</t>
  </si>
  <si>
    <t>Macrovirus</t>
  </si>
  <si>
    <t>Airborne</t>
  </si>
  <si>
    <t>Daily</t>
  </si>
  <si>
    <t>Demanding [21]</t>
  </si>
  <si>
    <t>Fatigued</t>
  </si>
  <si>
    <t>Lethargy/death</t>
  </si>
  <si>
    <t>Mobility</t>
  </si>
  <si>
    <t>Freezing</t>
  </si>
  <si>
    <t>Pistols</t>
  </si>
  <si>
    <t>Brawling</t>
  </si>
  <si>
    <t>Dodging</t>
  </si>
  <si>
    <t>Meditation</t>
  </si>
  <si>
    <t>Poor</t>
  </si>
  <si>
    <t>Artificial arm</t>
  </si>
  <si>
    <t>Major</t>
  </si>
  <si>
    <t xml:space="preserve"> +1d6 to STRENGTH dice pool</t>
  </si>
  <si>
    <t>Agricultural</t>
  </si>
  <si>
    <t>Farming</t>
  </si>
  <si>
    <t>Animal Handling</t>
  </si>
  <si>
    <t>Botany</t>
  </si>
  <si>
    <t>Blunt</t>
  </si>
  <si>
    <t>Orman's Symdrome</t>
  </si>
  <si>
    <t>Injury</t>
  </si>
  <si>
    <t>Difficult [16]</t>
  </si>
  <si>
    <t>Forgetful</t>
  </si>
  <si>
    <t>Memory loss</t>
  </si>
  <si>
    <t>Dampened</t>
  </si>
  <si>
    <t>Inhibited</t>
  </si>
  <si>
    <t>Heavy Weapons</t>
  </si>
  <si>
    <t>Martial Arts</t>
  </si>
  <si>
    <t>Foresight</t>
  </si>
  <si>
    <t>Bravery</t>
  </si>
  <si>
    <t>Artificial leg</t>
  </si>
  <si>
    <t xml:space="preserve"> +1d6 to AGILITY dice pool</t>
  </si>
  <si>
    <t>Arctic</t>
  </si>
  <si>
    <t>Survival</t>
  </si>
  <si>
    <t>Hardy</t>
  </si>
  <si>
    <t>Brewing</t>
  </si>
  <si>
    <t>Crushing</t>
  </si>
  <si>
    <t>Petrification</t>
  </si>
  <si>
    <t>Slowed</t>
  </si>
  <si>
    <t>Death</t>
  </si>
  <si>
    <t>Difficult Terrain*</t>
  </si>
  <si>
    <t>Yes</t>
  </si>
  <si>
    <t>Bows</t>
  </si>
  <si>
    <t>Wrestling</t>
  </si>
  <si>
    <t>Axes</t>
  </si>
  <si>
    <t>Discipline</t>
  </si>
  <si>
    <t>High</t>
  </si>
  <si>
    <t>Digiclaws</t>
  </si>
  <si>
    <t>Minor</t>
  </si>
  <si>
    <t xml:space="preserve"> +1d6 natural damage</t>
  </si>
  <si>
    <t>Asteroid</t>
  </si>
  <si>
    <t>Mining</t>
  </si>
  <si>
    <t>Geology</t>
  </si>
  <si>
    <t>Ballistic</t>
  </si>
  <si>
    <t>Radiation Sickness</t>
  </si>
  <si>
    <t>Exposure</t>
  </si>
  <si>
    <t>Debilitated</t>
  </si>
  <si>
    <t>Dim/smoky</t>
  </si>
  <si>
    <t>Sight (Half blind)</t>
  </si>
  <si>
    <t>Blind/Dark</t>
  </si>
  <si>
    <t>Thrown</t>
  </si>
  <si>
    <t>Religion</t>
  </si>
  <si>
    <t>Exceptional</t>
  </si>
  <si>
    <t>Sub-dermal plating</t>
  </si>
  <si>
    <t>SOAK 5</t>
  </si>
  <si>
    <t>Barren</t>
  </si>
  <si>
    <t>polearms</t>
  </si>
  <si>
    <t>Thievery</t>
  </si>
  <si>
    <t>Driving</t>
  </si>
  <si>
    <t>Retrograde Psychosis</t>
  </si>
  <si>
    <t>Confused</t>
  </si>
  <si>
    <t>Psychosis</t>
  </si>
  <si>
    <t>Snow/rain</t>
  </si>
  <si>
    <t>Conviction</t>
  </si>
  <si>
    <t>Mastercraft</t>
  </si>
  <si>
    <t>Duraskin</t>
  </si>
  <si>
    <t>SOAK 2, SOAK 5 (fire)</t>
  </si>
  <si>
    <t>City</t>
  </si>
  <si>
    <t>Diplomacy</t>
  </si>
  <si>
    <t>Bureacracy</t>
  </si>
  <si>
    <t>Rigellian Fever</t>
  </si>
  <si>
    <t>Contact</t>
  </si>
  <si>
    <t>Hi-grav*</t>
  </si>
  <si>
    <t>Tiredness</t>
  </si>
  <si>
    <t>Clubs</t>
  </si>
  <si>
    <t>Leadership</t>
  </si>
  <si>
    <t>Artisanal</t>
  </si>
  <si>
    <t>Exosuit, partial</t>
  </si>
  <si>
    <t>Desert</t>
  </si>
  <si>
    <t>Navigation</t>
  </si>
  <si>
    <t>Cooking</t>
  </si>
  <si>
    <t>Force</t>
  </si>
  <si>
    <t>Salt Plague</t>
  </si>
  <si>
    <t>Salt cravings</t>
  </si>
  <si>
    <t>Hot</t>
  </si>
  <si>
    <t>Fire</t>
  </si>
  <si>
    <t>Scorching</t>
  </si>
  <si>
    <t>Knives</t>
  </si>
  <si>
    <t>Psychology</t>
  </si>
  <si>
    <t>Legendary</t>
  </si>
  <si>
    <t>Exosuit, full</t>
  </si>
  <si>
    <t xml:space="preserve"> +1d6 to AGILITY and STRENGTH</t>
  </si>
  <si>
    <t>Jungle</t>
  </si>
  <si>
    <t>Climbing</t>
  </si>
  <si>
    <t>Hunting</t>
  </si>
  <si>
    <t>Vampiris</t>
  </si>
  <si>
    <t>Hourly</t>
  </si>
  <si>
    <t>Strenuous [25]</t>
  </si>
  <si>
    <t>Vampirism</t>
  </si>
  <si>
    <t>Lo-grav*</t>
  </si>
  <si>
    <t>Nausea</t>
  </si>
  <si>
    <t>Rulership</t>
  </si>
  <si>
    <t>Hormonal regulators</t>
  </si>
  <si>
    <t xml:space="preserve"> +1d6 to social interactions 3x a day</t>
  </si>
  <si>
    <t>Ocean</t>
  </si>
  <si>
    <t>Swimming</t>
  </si>
  <si>
    <t>Sailing</t>
  </si>
  <si>
    <t>Fishing</t>
  </si>
  <si>
    <t>White Disease</t>
  </si>
  <si>
    <t>Weekly</t>
  </si>
  <si>
    <t>Radioactive</t>
  </si>
  <si>
    <t>Irradiated</t>
  </si>
  <si>
    <t>Radiation</t>
  </si>
  <si>
    <t>Polearms</t>
  </si>
  <si>
    <t>Injector implant</t>
  </si>
  <si>
    <t>One drug type, injects as free action</t>
  </si>
  <si>
    <t>Volcanic</t>
  </si>
  <si>
    <t>Slippery*</t>
  </si>
  <si>
    <t>Swords</t>
  </si>
  <si>
    <t>Input jacks</t>
  </si>
  <si>
    <t xml:space="preserve"> +1d6 to computer operations</t>
  </si>
  <si>
    <t>Thick/thin atmosphere</t>
  </si>
  <si>
    <t>Vacuum</t>
  </si>
  <si>
    <t>Memory chip</t>
  </si>
  <si>
    <t xml:space="preserve"> +1d6 to LOG dice pool</t>
  </si>
  <si>
    <t>Tremors*</t>
  </si>
  <si>
    <t>Quakes</t>
  </si>
  <si>
    <t>Spears</t>
  </si>
  <si>
    <t>Olfactory sensors</t>
  </si>
  <si>
    <t xml:space="preserve"> +1d6 to smell-based INT checks</t>
  </si>
  <si>
    <t>Wet</t>
  </si>
  <si>
    <t>Underwater*</t>
  </si>
  <si>
    <t/>
  </si>
  <si>
    <t>Psionic scrambler</t>
  </si>
  <si>
    <t xml:space="preserve"> +5 MENTAL DEFENSE</t>
  </si>
  <si>
    <t>Windy</t>
  </si>
  <si>
    <t>Hurricane</t>
  </si>
  <si>
    <t>Skeletal reinforcement</t>
  </si>
  <si>
    <t xml:space="preserve"> +1d6 to ENDURANCE dice pool</t>
  </si>
  <si>
    <t>Skill implant</t>
  </si>
  <si>
    <t>1 new skill at 1d6</t>
  </si>
  <si>
    <t>Static dynamo</t>
  </si>
  <si>
    <t>Discharge energy as an attack</t>
  </si>
  <si>
    <t>rng</t>
  </si>
  <si>
    <t>Stun</t>
  </si>
  <si>
    <t>Weapon integration</t>
  </si>
  <si>
    <t>Plus price of weapon</t>
  </si>
  <si>
    <t>Magical</t>
  </si>
  <si>
    <t>Voice synthesizer</t>
  </si>
  <si>
    <t>Fake voice, +1d6 checks to decieve</t>
  </si>
  <si>
    <t>Disease</t>
  </si>
  <si>
    <t>swords</t>
  </si>
  <si>
    <t>Wavelength reciever</t>
  </si>
  <si>
    <t>Sense/read energy/rad wavelengths</t>
  </si>
  <si>
    <t>Burst</t>
  </si>
  <si>
    <t>Contacts</t>
  </si>
  <si>
    <t>Magic Pool</t>
  </si>
  <si>
    <t>wrestling</t>
  </si>
  <si>
    <t>Status Tracks</t>
  </si>
  <si>
    <t>Contacts Known</t>
  </si>
  <si>
    <t>Total Magic Points</t>
  </si>
  <si>
    <t>Current Magic Points</t>
  </si>
  <si>
    <t>shd</t>
  </si>
  <si>
    <t>Choose Skill</t>
  </si>
  <si>
    <t>Mild</t>
  </si>
  <si>
    <t>Moderate</t>
  </si>
  <si>
    <t>Severe</t>
  </si>
  <si>
    <t>Extreme</t>
  </si>
  <si>
    <t>Location</t>
  </si>
  <si>
    <t>Relationship</t>
  </si>
  <si>
    <t>Expertise</t>
  </si>
  <si>
    <t>Alertness (INT)</t>
  </si>
  <si>
    <t>Anger (CHA)</t>
  </si>
  <si>
    <t>Languages</t>
  </si>
  <si>
    <t>rht</t>
  </si>
  <si>
    <t>Autonomy(WIL)</t>
  </si>
  <si>
    <t>Manual SOAK</t>
  </si>
  <si>
    <t>Total Languages Known</t>
  </si>
  <si>
    <t>lft</t>
  </si>
  <si>
    <t>Bleeding (END)</t>
  </si>
  <si>
    <t>Armor SOAK</t>
  </si>
  <si>
    <t>Language Example</t>
  </si>
  <si>
    <t>Checks to see if have shields, if not, use melee</t>
  </si>
  <si>
    <t>Charm (WIL)</t>
  </si>
  <si>
    <t>Common</t>
  </si>
  <si>
    <t>dp</t>
  </si>
  <si>
    <t>Cheer (-)</t>
  </si>
  <si>
    <t>Galactic Basic</t>
  </si>
  <si>
    <t>Cognizance(LOG)</t>
  </si>
  <si>
    <t>Intelligence Equivalent</t>
  </si>
  <si>
    <t>Courage (-)</t>
  </si>
  <si>
    <t>Changelog</t>
  </si>
  <si>
    <t>May 23rd 2017</t>
  </si>
  <si>
    <t>v2.0.0</t>
  </si>
  <si>
    <t>Official Release v2.0</t>
  </si>
  <si>
    <t>May 23rd</t>
  </si>
  <si>
    <t>v2.0.1</t>
  </si>
  <si>
    <t>Changed minimum dicepool cap from 0 to 1. Fixed notes that were referencing older iterations of the sheet. Fixed Stat Block.</t>
  </si>
  <si>
    <t>May 24th</t>
  </si>
  <si>
    <t>Added additional notes throughout sheet for better documentation and explanation. Last few changes to formatting.</t>
  </si>
  <si>
    <t>May 25th</t>
  </si>
  <si>
    <t>v2.0.2</t>
  </si>
  <si>
    <t>Added Luck Pool; Improved weight calculation so that you can now turn off the penalties for carrying too much weight.</t>
  </si>
  <si>
    <t>May 26th</t>
  </si>
  <si>
    <t>v2.0.3</t>
  </si>
  <si>
    <t>Added support for the following traits: Nimble; Alcoholic. Fixed weight/carried weight calculation using the wrong value.</t>
  </si>
  <si>
    <t>General Notes</t>
  </si>
  <si>
    <t>md</t>
  </si>
  <si>
    <t>Drowsiness(END)</t>
  </si>
  <si>
    <t>Fear (WIL)</t>
  </si>
  <si>
    <t>Fire (AGI)</t>
  </si>
  <si>
    <t>Hearing (INT)</t>
  </si>
  <si>
    <t>Intoxication</t>
  </si>
  <si>
    <t>Memory (LOG)</t>
  </si>
  <si>
    <t>Mobility (AGI)</t>
  </si>
  <si>
    <t>ow</t>
  </si>
  <si>
    <t>Sight (INT)</t>
  </si>
  <si>
    <t>Natural Immunities</t>
  </si>
  <si>
    <t>qlty</t>
  </si>
  <si>
    <t>mid</t>
  </si>
  <si>
    <t>Pain (END)</t>
  </si>
  <si>
    <t>mh</t>
  </si>
  <si>
    <t>Nausea (ALL)</t>
  </si>
  <si>
    <t>Status Immunities</t>
  </si>
  <si>
    <t>oh</t>
  </si>
  <si>
    <t>Tiredness (ALL)</t>
  </si>
  <si>
    <t>Attribute Penalty</t>
  </si>
  <si>
    <t>-1d6</t>
  </si>
  <si>
    <t>-2d6</t>
  </si>
  <si>
    <t>-3d6</t>
  </si>
  <si>
    <t>Character Creation Checklist</t>
  </si>
  <si>
    <t>Index</t>
  </si>
  <si>
    <t>Steps to Character Creation</t>
  </si>
  <si>
    <t>Checklist Grade 5</t>
  </si>
  <si>
    <t>1 Note your starting attributes (3 for each
attribute, except for PSI and REP which
start at 0).</t>
  </si>
  <si>
    <t>Career Exploits</t>
  </si>
  <si>
    <t>2 Choose a species.
2.1 Apply species attribute adjustments.
2. 2 Note your SIZE.
2. 3 Choose three species skills.
2. 4 Note all the listed species exploits.</t>
  </si>
  <si>
    <t>Species Skills</t>
  </si>
  <si>
    <t>Homeworld Skill</t>
  </si>
  <si>
    <t>Career Attributes</t>
  </si>
  <si>
    <t>OF</t>
  </si>
  <si>
    <t>3 Choose a homeworld type, apply attribute
adjustments, and note any bonus skills.</t>
  </si>
  <si>
    <t>Trait</t>
  </si>
  <si>
    <t>Hook</t>
  </si>
  <si>
    <t>Cybernetics</t>
  </si>
  <si>
    <t>4 Choose a hook, note it in your descriptor.</t>
  </si>
  <si>
    <t>Possible Age Exploit</t>
  </si>
  <si>
    <t>Cybernetic Alterations Allowed</t>
  </si>
  <si>
    <t>Alterations Left</t>
  </si>
  <si>
    <t>4.1 Choose one attribute related to that hook; this is called your hook attribute.</t>
  </si>
  <si>
    <t>5 Choose five careers. Start with an origin,
and then select four further careers. For each career grade, do the following:</t>
  </si>
  <si>
    <t>6 Select aim or feint (free universal exploits)
plus one other universal exploit of your
choice for which you qualify.</t>
  </si>
  <si>
    <t>Retinal Implants</t>
  </si>
  <si>
    <t>Retinal Implant Left</t>
  </si>
  <si>
    <t>5.1 Apply all of the listed attribute
adjustments. Note that you may optionally
substitute either one of your species
attributes or your hook attribute for one of
the listed attributes.</t>
  </si>
  <si>
    <t>7 Choose one trait based on your highest
or lowest attribute and note that in your
descriptor.</t>
  </si>
  <si>
    <t>Night vision</t>
  </si>
  <si>
    <t>Telescopic</t>
  </si>
  <si>
    <t>8 Determine your age and apply any age
exploits.</t>
  </si>
  <si>
    <t>Magnifying</t>
  </si>
  <si>
    <t>Infra-red</t>
  </si>
  <si>
    <t>5. 2 Choose two of the listed skills and
advance each by one point. Note that
characters may optionally always select a
defensive skill instead of a listed skill.</t>
  </si>
  <si>
    <t>9 Calculate your derived statistics.</t>
  </si>
  <si>
    <t>Retinal Implant Right</t>
  </si>
  <si>
    <t>10 Spend money to equip your character with
armor, weapons, and equipment.</t>
  </si>
  <si>
    <t>5. 3 Choose one new career exploit from the
list shown or choose one universal exploit.</t>
  </si>
  <si>
    <t>5. 4 Roll for the years spent at that career
grade and increase your age (your age
starts at zero).</t>
  </si>
  <si>
    <t>Integrated Weapons</t>
  </si>
  <si>
    <t>sheet by Arthreas</t>
  </si>
  <si>
    <t>Weapon One</t>
  </si>
  <si>
    <t>Weapon Two</t>
  </si>
  <si>
    <t>Will mem</t>
  </si>
  <si>
    <t>Will skill</t>
  </si>
  <si>
    <t>weapons</t>
  </si>
  <si>
    <t>gear</t>
  </si>
  <si>
    <t>armour</t>
  </si>
  <si>
    <t>Resistance</t>
  </si>
  <si>
    <t>Ineffective</t>
  </si>
  <si>
    <t>shields</t>
  </si>
  <si>
    <t>armor</t>
  </si>
  <si>
    <t>Dmg</t>
  </si>
  <si>
    <t>gauntlets</t>
  </si>
  <si>
    <t>helmets</t>
  </si>
  <si>
    <t>Massive</t>
  </si>
  <si>
    <t>Nimble</t>
  </si>
  <si>
    <t>Rugged</t>
  </si>
  <si>
    <t>Empathic</t>
  </si>
  <si>
    <t>Brilliant</t>
  </si>
  <si>
    <t>Stoic</t>
  </si>
  <si>
    <t>Commanding</t>
  </si>
  <si>
    <t>Egotistical</t>
  </si>
  <si>
    <t>Athletic</t>
  </si>
  <si>
    <t>Deadeye</t>
  </si>
  <si>
    <t>Tough-as-nails</t>
  </si>
  <si>
    <t>Alert</t>
  </si>
  <si>
    <t>Erudite</t>
  </si>
  <si>
    <t>Unflappable</t>
  </si>
  <si>
    <t>Inspiring</t>
  </si>
  <si>
    <t>Well-known</t>
  </si>
  <si>
    <t>Brawny</t>
  </si>
  <si>
    <t>Ambidextrous</t>
  </si>
  <si>
    <t>Suave</t>
  </si>
  <si>
    <t>Flamboyant</t>
  </si>
  <si>
    <t>Persuasive</t>
  </si>
  <si>
    <t>Feeble</t>
  </si>
  <si>
    <t>Clumsy</t>
  </si>
  <si>
    <t>Coughing</t>
  </si>
  <si>
    <t>Naive</t>
  </si>
  <si>
    <t>Illiterate</t>
  </si>
  <si>
    <t>Alcoholic</t>
  </si>
  <si>
    <t>Unwashed</t>
  </si>
  <si>
    <t>Tottering</t>
  </si>
  <si>
    <t>Lame</t>
  </si>
  <si>
    <t>Asthmatic</t>
  </si>
  <si>
    <t>Distracted</t>
  </si>
  <si>
    <t>Reckless</t>
  </si>
  <si>
    <t>Disfigured</t>
  </si>
  <si>
    <t>Spendthrift</t>
  </si>
  <si>
    <t>Obnoxious</t>
  </si>
  <si>
    <t>ALL</t>
  </si>
  <si>
    <t>Str</t>
  </si>
  <si>
    <t>Agi</t>
  </si>
  <si>
    <t>End</t>
  </si>
  <si>
    <t>Wil</t>
  </si>
  <si>
    <t>weapons 2</t>
  </si>
  <si>
    <t>Int</t>
  </si>
  <si>
    <t>Log</t>
  </si>
  <si>
    <t>main page</t>
  </si>
  <si>
    <t>Cha</t>
  </si>
  <si>
    <t>Luc</t>
  </si>
  <si>
    <t>Rep</t>
  </si>
  <si>
    <t>Psi</t>
  </si>
  <si>
    <t>Dazed</t>
  </si>
  <si>
    <t>Vexed</t>
  </si>
  <si>
    <t>Agreeable</t>
  </si>
  <si>
    <t>Bloodied</t>
  </si>
  <si>
    <t>Beguiled</t>
  </si>
  <si>
    <t>Cheerful</t>
  </si>
  <si>
    <t>Muddled</t>
  </si>
  <si>
    <t>Confident</t>
  </si>
  <si>
    <t>Drowsy</t>
  </si>
  <si>
    <t>Apprehensive</t>
  </si>
  <si>
    <t>Singed</t>
  </si>
  <si>
    <t>Dulled</t>
  </si>
  <si>
    <t>Tipsy</t>
  </si>
  <si>
    <t>#=IF(I298="Nothing","",VLOOKUP(I298,#REF!,7,FALSE))</t>
  </si>
  <si>
    <t>Hindered</t>
  </si>
  <si>
    <t>Open/Close</t>
  </si>
  <si>
    <t>Fuzzy</t>
  </si>
  <si>
    <t>#=IF(I300="Nothing","",VLOOKUP(I300,#REF!,6,FALSE))</t>
  </si>
  <si>
    <t>#=IF(I300="Nothing","",VLOOKUP(I300,#REF!,11,FALSE))</t>
  </si>
  <si>
    <t>Discomfort</t>
  </si>
  <si>
    <t>Armor</t>
  </si>
  <si>
    <t>Resistant</t>
  </si>
  <si>
    <t>Queasy</t>
  </si>
  <si>
    <t>#=IF(I302="Nothing","",VLOOKUP(I302,#REF!,6,FALSE))</t>
  </si>
  <si>
    <t>#=IF(I302="Nothing","",VLOOKUP(I302,#REF!,11,FALSE))</t>
  </si>
  <si>
    <t>#=IF(I302="Nothing","",VLOOKUP(I302,#REF!,10,FALSE))</t>
  </si>
  <si>
    <t>Weary</t>
  </si>
  <si>
    <t>Gauntlet/Unarmed</t>
  </si>
  <si>
    <t>Disoriented</t>
  </si>
  <si>
    <t>Irate</t>
  </si>
  <si>
    <t>Suggestible</t>
  </si>
  <si>
    <t>Wounded</t>
  </si>
  <si>
    <t>#=IF(I302="Nothing","",VLOOKUP(I302,#REF!,8,FALSE))</t>
  </si>
  <si>
    <t>#=IF(I298="Nothing","",VLOOKUP(I298,#REF!,11,FALSE))</t>
  </si>
  <si>
    <t>Charmed</t>
  </si>
  <si>
    <t>Jolly</t>
  </si>
  <si>
    <t>#=IF(I304="Nothing","",VLOOKUP(I304,#REF!,7,FALSE))</t>
  </si>
  <si>
    <t>#=IF(I304="Nothing","",VLOOKUP(I304,#REF!,8,FALSE))</t>
  </si>
  <si>
    <t>#=IF(I304="Nothing","",VLOOKUP(I304,#REF!,9,FALSE))</t>
  </si>
  <si>
    <t>Bewildered</t>
  </si>
  <si>
    <t>Brave</t>
  </si>
  <si>
    <t>Snoozing*</t>
  </si>
  <si>
    <t>Nervous</t>
  </si>
  <si>
    <t>Charred</t>
  </si>
  <si>
    <t>Hard of Hearing</t>
  </si>
  <si>
    <t>Lubricated</t>
  </si>
  <si>
    <t>Absent minded</t>
  </si>
  <si>
    <t>Bleary</t>
  </si>
  <si>
    <t>Soreness</t>
  </si>
  <si>
    <t>Sick</t>
  </si>
  <si>
    <t>Flagging</t>
  </si>
  <si>
    <t>Addled</t>
  </si>
  <si>
    <t>Angry</t>
  </si>
  <si>
    <t>Dominated</t>
  </si>
  <si>
    <t>Bleeding</t>
  </si>
  <si>
    <t>Enchanted</t>
  </si>
  <si>
    <t>Merry</t>
  </si>
  <si>
    <t>Valiant</t>
  </si>
  <si>
    <t>Sleeping*</t>
  </si>
  <si>
    <t>Afraid</t>
  </si>
  <si>
    <t>Smoldering</t>
  </si>
  <si>
    <t>Half-deaf</t>
  </si>
  <si>
    <t>Drunk</t>
  </si>
  <si>
    <t>Immobilized</t>
  </si>
  <si>
    <t>Half blind</t>
  </si>
  <si>
    <t>Painful</t>
  </si>
  <si>
    <t>Nauseated</t>
  </si>
  <si>
    <t>Stunned*</t>
  </si>
  <si>
    <t>Enraged</t>
  </si>
  <si>
    <t>Controlled</t>
  </si>
  <si>
    <t>Hemorrhage</t>
  </si>
  <si>
    <t>Besotted</t>
  </si>
  <si>
    <t>Joyous</t>
  </si>
  <si>
    <t>Insane</t>
  </si>
  <si>
    <t>Heroic</t>
  </si>
  <si>
    <t>Comatose*</t>
  </si>
  <si>
    <t>Terrified*</t>
  </si>
  <si>
    <t>Burning</t>
  </si>
  <si>
    <t>Deafened</t>
  </si>
  <si>
    <t>Inebriated</t>
  </si>
  <si>
    <t>Amnesic</t>
  </si>
  <si>
    <t>Paralyzed*</t>
  </si>
  <si>
    <t>Blind</t>
  </si>
  <si>
    <t>Agony*</t>
  </si>
  <si>
    <t>Debilitated*</t>
  </si>
  <si>
    <t>Exhausted</t>
  </si>
</sst>
</file>

<file path=xl/styles.xml><?xml version="1.0" encoding="utf-8"?>
<styleSheet xmlns="http://schemas.openxmlformats.org/spreadsheetml/2006/main" xmlns:x14ac="http://schemas.microsoft.com/office/spreadsheetml/2009/9/ac" xmlns:mc="http://schemas.openxmlformats.org/markup-compatibility/2006">
  <fonts count="63">
    <font>
      <sz val="10.0"/>
      <color rgb="FF000000"/>
      <name val="Arial"/>
    </font>
    <font>
      <name val="Roboto"/>
    </font>
    <font>
      <b/>
      <color rgb="FFFFFFFF"/>
      <name val="Roboto"/>
    </font>
    <font>
      <b/>
      <name val="Roboto"/>
    </font>
    <font/>
    <font>
      <sz val="7.0"/>
      <name val="Roboto"/>
    </font>
    <font>
      <b/>
      <sz val="8.0"/>
      <name val="Roboto"/>
    </font>
    <font>
      <sz val="12.0"/>
      <name val="Roboto"/>
    </font>
    <font>
      <sz val="18.0"/>
      <name val="Orbitron"/>
    </font>
    <font>
      <b/>
      <sz val="9.0"/>
      <name val="Roboto"/>
    </font>
    <font>
      <name val="Arial"/>
    </font>
    <font>
      <color rgb="FF9FC5E8"/>
      <name val="Roboto"/>
    </font>
    <font>
      <sz val="9.0"/>
      <name val="Roboto"/>
    </font>
    <font>
      <color rgb="FF6FA8DC"/>
      <name val="Roboto"/>
    </font>
    <font>
      <i/>
      <name val="Roboto"/>
    </font>
    <font>
      <sz val="14.0"/>
      <name val="Roboto"/>
    </font>
    <font>
      <b/>
      <i/>
      <name val="Roboto"/>
    </font>
    <font>
      <color rgb="FF000000"/>
      <name val="Roboto"/>
    </font>
    <font>
      <i/>
      <color rgb="FF000000"/>
      <name val="Roboto"/>
    </font>
    <font>
      <color rgb="FFFFFFFF"/>
    </font>
    <font>
      <color rgb="FF3D85C6"/>
      <name val="Roboto"/>
    </font>
    <font>
      <b/>
      <i/>
      <sz val="11.0"/>
      <name val="Roboto"/>
    </font>
    <font>
      <b/>
      <sz val="14.0"/>
      <name val="Roboto"/>
    </font>
    <font>
      <sz val="18.0"/>
      <color rgb="FFFFFFFF"/>
    </font>
    <font>
      <b/>
      <sz val="14.0"/>
      <color rgb="FF1C4587"/>
      <name val="Roboto"/>
    </font>
    <font>
      <b/>
      <i/>
      <color rgb="FF000000"/>
      <name val="Roboto"/>
    </font>
    <font>
      <i/>
    </font>
    <font>
      <b/>
    </font>
    <font>
      <b/>
      <sz val="10.0"/>
      <name val="Roboto"/>
    </font>
    <font>
      <color rgb="FFC9DAF8"/>
      <name val="Roboto"/>
    </font>
    <font>
      <sz val="10.0"/>
      <name val="Roboto"/>
    </font>
    <font>
      <b/>
      <sz val="8.0"/>
      <color rgb="FF000000"/>
      <name val="Roboto"/>
    </font>
    <font>
      <sz val="9.0"/>
    </font>
    <font>
      <sz val="9.0"/>
      <color rgb="FFFFFFFF"/>
    </font>
    <font>
      <color rgb="FF9FC5E8"/>
    </font>
    <font>
      <color rgb="FFFFFFFF"/>
      <name val="Roboto"/>
    </font>
    <font>
      <sz val="9.0"/>
      <color rgb="FFFFFFFF"/>
      <name val="Roboto"/>
    </font>
    <font>
      <color rgb="FFCFE2F3"/>
      <name val="Roboto"/>
    </font>
    <font>
      <b/>
      <color rgb="FF9FC5E8"/>
      <name val="Roboto"/>
    </font>
    <font>
      <color rgb="FF0B5394"/>
      <name val="Roboto"/>
    </font>
    <font>
      <b/>
      <sz val="11.0"/>
      <name val="Roboto"/>
    </font>
    <font>
      <b/>
      <sz val="10.0"/>
      <color rgb="FF000000"/>
      <name val="Roboto"/>
    </font>
    <font>
      <b/>
      <sz val="11.0"/>
      <color rgb="FF38761D"/>
      <name val="Roboto"/>
    </font>
    <font>
      <sz val="10.0"/>
      <color rgb="FF3D85C6"/>
      <name val="Roboto"/>
    </font>
    <font>
      <b/>
      <i/>
      <sz val="10.0"/>
      <name val="Roboto"/>
    </font>
    <font>
      <color rgb="FF3D85C6"/>
    </font>
    <font>
      <sz val="9.0"/>
      <color rgb="FF000000"/>
      <name val="Roboto"/>
    </font>
    <font>
      <b/>
      <i/>
      <sz val="11.0"/>
      <color rgb="FF3D85C6"/>
      <name val="Roboto"/>
    </font>
    <font>
      <b/>
      <color rgb="FF3D85C6"/>
      <name val="Roboto"/>
    </font>
    <font>
      <sz val="9.0"/>
      <color rgb="FF073763"/>
      <name val="Roboto"/>
    </font>
    <font>
      <color rgb="FF6FA8DC"/>
    </font>
    <font>
      <b/>
      <sz val="9.0"/>
      <color rgb="FF3D85C6"/>
      <name val="Roboto"/>
    </font>
    <font>
      <sz val="10.0"/>
      <color rgb="FF000000"/>
      <name val="Roboto"/>
    </font>
    <font>
      <b/>
      <sz val="14.0"/>
      <color rgb="FF000000"/>
      <name val="Roboto"/>
    </font>
    <font>
      <sz val="10.0"/>
      <color rgb="FF6FA8DC"/>
      <name val="Roboto"/>
    </font>
    <font>
      <b/>
      <color rgb="FF000000"/>
      <name val="Roboto"/>
    </font>
    <font>
      <sz val="12.0"/>
      <color rgb="FF000000"/>
      <name val="Roboto"/>
    </font>
    <font>
      <sz val="10.0"/>
      <color rgb="FF9FC5E8"/>
      <name val="Roboto"/>
    </font>
    <font>
      <color rgb="FF9FC5E8"/>
      <name val="Arial"/>
    </font>
    <font>
      <b/>
      <color rgb="FF9FC5E8"/>
    </font>
    <font>
      <b/>
      <sz val="10.0"/>
      <color rgb="FF9FC5E8"/>
      <name val="Roboto"/>
    </font>
    <font>
      <sz val="9.0"/>
      <color rgb="FF9FC5E8"/>
    </font>
    <font>
      <b/>
      <sz val="9.0"/>
      <color rgb="FF9FC5E8"/>
      <name val="Roboto"/>
    </font>
  </fonts>
  <fills count="14">
    <fill>
      <patternFill patternType="none"/>
    </fill>
    <fill>
      <patternFill patternType="lightGray"/>
    </fill>
    <fill>
      <patternFill patternType="solid">
        <fgColor rgb="FF3D85C6"/>
        <bgColor rgb="FF3D85C6"/>
      </patternFill>
    </fill>
    <fill>
      <patternFill patternType="solid">
        <fgColor rgb="FF9FC5E8"/>
        <bgColor rgb="FF9FC5E8"/>
      </patternFill>
    </fill>
    <fill>
      <patternFill patternType="solid">
        <fgColor rgb="FFCFE2F3"/>
        <bgColor rgb="FFCFE2F3"/>
      </patternFill>
    </fill>
    <fill>
      <patternFill patternType="solid">
        <fgColor rgb="FFC9DAF8"/>
        <bgColor rgb="FFC9DAF8"/>
      </patternFill>
    </fill>
    <fill>
      <patternFill patternType="solid">
        <fgColor rgb="FF434343"/>
        <bgColor rgb="FF434343"/>
      </patternFill>
    </fill>
    <fill>
      <patternFill patternType="solid">
        <fgColor rgb="FF6FA8DC"/>
        <bgColor rgb="FF6FA8DC"/>
      </patternFill>
    </fill>
    <fill>
      <patternFill patternType="solid">
        <fgColor rgb="FFA4C2F4"/>
        <bgColor rgb="FFA4C2F4"/>
      </patternFill>
    </fill>
    <fill>
      <patternFill patternType="solid">
        <fgColor rgb="FFFFFFFF"/>
        <bgColor rgb="FFFFFFFF"/>
      </patternFill>
    </fill>
    <fill>
      <patternFill patternType="solid">
        <fgColor rgb="FF6D9EEB"/>
        <bgColor rgb="FF6D9EEB"/>
      </patternFill>
    </fill>
    <fill>
      <patternFill patternType="solid">
        <fgColor rgb="FF76A5AF"/>
        <bgColor rgb="FF76A5AF"/>
      </patternFill>
    </fill>
    <fill>
      <patternFill patternType="solid">
        <fgColor rgb="FFB4A7D6"/>
        <bgColor rgb="FFB4A7D6"/>
      </patternFill>
    </fill>
    <fill>
      <patternFill patternType="solid">
        <fgColor rgb="FFD9D2E9"/>
        <bgColor rgb="FFD9D2E9"/>
      </patternFill>
    </fill>
  </fills>
  <borders count="30">
    <border>
      <left/>
      <right/>
      <top/>
      <bottom/>
    </border>
    <border>
      <left/>
      <right/>
      <top/>
      <bottom style="thin">
        <color rgb="FF6FA8DC"/>
      </bottom>
    </border>
    <border>
      <left/>
      <right style="thin">
        <color rgb="FF9FC5E8"/>
      </right>
      <top/>
      <bottom/>
    </border>
    <border>
      <left style="thin">
        <color rgb="FF9FC5E8"/>
      </left>
      <right style="thin">
        <color rgb="FF9FC5E8"/>
      </right>
      <top/>
      <bottom style="thin">
        <color rgb="FF9FC5E8"/>
      </bottom>
    </border>
    <border>
      <left/>
      <right/>
      <top/>
      <bottom style="thin">
        <color rgb="FF9FC5E8"/>
      </bottom>
    </border>
    <border>
      <left style="thin">
        <color rgb="FFA4C2F4"/>
      </left>
      <right style="thin">
        <color rgb="FFA4C2F4"/>
      </right>
      <top style="thin">
        <color rgb="FFA4C2F4"/>
      </top>
      <bottom style="thin">
        <color rgb="FFA4C2F4"/>
      </bottom>
    </border>
    <border>
      <left style="thin">
        <color rgb="FFA4C2F4"/>
      </left>
      <right/>
      <top style="thin">
        <color rgb="FFA4C2F4"/>
      </top>
      <bottom style="thin">
        <color rgb="FFA4C2F4"/>
      </bottom>
    </border>
    <border>
      <left/>
      <right/>
      <top style="thin">
        <color rgb="FFA4C2F4"/>
      </top>
      <bottom style="thin">
        <color rgb="FFA4C2F4"/>
      </bottom>
    </border>
    <border>
      <left/>
      <right style="thin">
        <color rgb="FFA4C2F4"/>
      </right>
      <top style="thin">
        <color rgb="FFA4C2F4"/>
      </top>
      <bottom style="thin">
        <color rgb="FFA4C2F4"/>
      </bottom>
    </border>
    <border>
      <left/>
      <right/>
      <top style="thin">
        <color rgb="FF6FA8DC"/>
      </top>
      <bottom/>
    </border>
    <border>
      <left style="thin">
        <color rgb="FF9FC5E8"/>
      </left>
      <right style="thin">
        <color rgb="FF9FC5E8"/>
      </right>
      <top/>
      <bottom/>
    </border>
    <border>
      <left style="thin">
        <color rgb="FF9FC5E8"/>
      </left>
      <right/>
      <top/>
      <bottom/>
    </border>
    <border>
      <left/>
      <right style="thin">
        <color rgb="FF9FC5E8"/>
      </right>
      <top/>
      <bottom style="thin">
        <color rgb="FF6FA8DC"/>
      </bottom>
    </border>
    <border>
      <left style="thin">
        <color rgb="FF9FC5E8"/>
      </left>
      <right style="thin">
        <color rgb="FF9FC5E8"/>
      </right>
      <top/>
      <bottom style="thin">
        <color rgb="FF6FA8DC"/>
      </bottom>
    </border>
    <border>
      <left style="thin">
        <color rgb="FF9FC5E8"/>
      </left>
      <right/>
      <top/>
      <bottom style="thin">
        <color rgb="FF6FA8DC"/>
      </bottom>
    </border>
    <border>
      <left/>
      <right/>
      <top/>
      <bottom style="thin">
        <color rgb="FF3D85C6"/>
      </bottom>
    </border>
    <border>
      <left style="thin">
        <color rgb="FF6FA8DC"/>
      </left>
      <right/>
      <top/>
      <bottom/>
    </border>
    <border>
      <left style="thin">
        <color rgb="FF6FA8DC"/>
      </left>
      <right style="thin">
        <color rgb="FF6FA8DC"/>
      </right>
      <top/>
      <bottom/>
    </border>
    <border>
      <left/>
      <right style="thin">
        <color rgb="FFA4C2F4"/>
      </right>
      <top/>
      <bottom/>
    </border>
    <border>
      <left/>
      <right/>
      <top style="thin">
        <color rgb="FF9FC5E8"/>
      </top>
      <bottom style="thin">
        <color rgb="FF9FC5E8"/>
      </bottom>
    </border>
    <border>
      <left/>
      <right style="thin">
        <color rgb="FF6FA8DC"/>
      </right>
      <top/>
      <bottom/>
    </border>
    <border>
      <left style="thin">
        <color rgb="FF9FC5E8"/>
      </left>
      <right/>
      <top style="thin">
        <color rgb="FF9FC5E8"/>
      </top>
      <bottom style="thin">
        <color rgb="FF9FC5E8"/>
      </bottom>
    </border>
    <border>
      <left/>
      <right/>
      <top style="thin">
        <color rgb="FF6FA8DC"/>
      </top>
      <bottom style="thin">
        <color rgb="FF6FA8DC"/>
      </bottom>
    </border>
    <border>
      <left/>
      <right style="thin">
        <color rgb="FF6FA8DC"/>
      </right>
      <top style="thin">
        <color rgb="FF6FA8DC"/>
      </top>
      <bottom style="thin">
        <color rgb="FF6FA8DC"/>
      </bottom>
    </border>
    <border>
      <left style="thin">
        <color rgb="FF9FC5E8"/>
      </left>
      <right style="thin">
        <color rgb="FF9FC5E8"/>
      </right>
      <top style="thin">
        <color rgb="FF9FC5E8"/>
      </top>
      <bottom/>
    </border>
    <border>
      <left/>
      <right/>
      <top style="thin">
        <color rgb="FF9FC5E8"/>
      </top>
      <bottom/>
    </border>
    <border>
      <left/>
      <right style="thin">
        <color rgb="FF6FA8DC"/>
      </right>
      <top style="thin">
        <color rgb="FF6FA8DC"/>
      </top>
      <bottom/>
    </border>
    <border>
      <left/>
      <right/>
      <top style="thin">
        <color rgb="FF000000"/>
      </top>
      <bottom/>
    </border>
    <border>
      <left/>
      <right/>
      <top/>
      <bottom style="thin">
        <color rgb="FF000000"/>
      </bottom>
    </border>
    <border>
      <left style="thin">
        <color rgb="FF9FC5E8"/>
      </left>
      <right style="thin">
        <color rgb="FF9FC5E8"/>
      </right>
      <top style="thin">
        <color rgb="FF9FC5E8"/>
      </top>
      <bottom style="thin">
        <color rgb="FF9FC5E8"/>
      </bottom>
    </border>
  </borders>
  <cellStyleXfs count="1">
    <xf borderId="0" fillId="0" fontId="0" numFmtId="0" applyAlignment="1" applyFont="1"/>
  </cellStyleXfs>
  <cellXfs count="479">
    <xf borderId="0" fillId="0" fontId="0" numFmtId="0" xfId="0" applyAlignment="1" applyFont="1">
      <alignment/>
    </xf>
    <xf borderId="0" fillId="2" fontId="1" numFmtId="0" xfId="0" applyAlignment="1" applyFill="1" applyFont="1">
      <alignment horizontal="center" vertical="center"/>
    </xf>
    <xf borderId="0" fillId="2" fontId="2" numFmtId="0" xfId="0" applyAlignment="1" applyFont="1">
      <alignment horizontal="center" vertical="center"/>
    </xf>
    <xf borderId="0" fillId="3" fontId="3" numFmtId="0" xfId="0" applyAlignment="1" applyFill="1" applyFont="1">
      <alignment horizontal="center" vertical="center"/>
    </xf>
    <xf borderId="0" fillId="3" fontId="3" numFmtId="0" xfId="0" applyAlignment="1" applyFont="1">
      <alignment horizontal="center" vertical="center"/>
    </xf>
    <xf borderId="0" fillId="4" fontId="1" numFmtId="0" xfId="0" applyAlignment="1" applyFill="1" applyFont="1">
      <alignment horizontal="center" vertical="center"/>
    </xf>
    <xf borderId="0" fillId="4" fontId="1" numFmtId="0" xfId="0" applyAlignment="1" applyFont="1">
      <alignment horizontal="center" vertical="center"/>
    </xf>
    <xf borderId="0" fillId="4" fontId="4" numFmtId="0" xfId="0" applyAlignment="1" applyFont="1">
      <alignment horizontal="center" vertical="center"/>
    </xf>
    <xf borderId="0" fillId="4" fontId="1" numFmtId="0" xfId="0" applyAlignment="1" applyFont="1">
      <alignment horizontal="center" vertical="center"/>
    </xf>
    <xf borderId="0" fillId="5" fontId="1" numFmtId="0" xfId="0" applyAlignment="1" applyFill="1" applyFont="1">
      <alignment horizontal="center" vertical="center"/>
    </xf>
    <xf borderId="0" fillId="5" fontId="1" numFmtId="0" xfId="0" applyAlignment="1" applyFont="1">
      <alignment horizontal="center" vertical="center"/>
    </xf>
    <xf borderId="0" fillId="5" fontId="1" numFmtId="0" xfId="0" applyAlignment="1" applyFont="1">
      <alignment horizontal="center" vertical="center"/>
    </xf>
    <xf borderId="0" fillId="5" fontId="4" numFmtId="0" xfId="0" applyAlignment="1" applyFont="1">
      <alignment horizontal="center" vertical="center"/>
    </xf>
    <xf borderId="0" fillId="6" fontId="1" numFmtId="0" xfId="0" applyAlignment="1" applyFill="1" applyFont="1">
      <alignment horizontal="center" vertical="center"/>
    </xf>
    <xf borderId="0" fillId="6" fontId="4" numFmtId="0" xfId="0" applyAlignment="1" applyFont="1">
      <alignment horizontal="center" vertical="center"/>
    </xf>
    <xf borderId="0" fillId="7" fontId="1" numFmtId="0" xfId="0" applyAlignment="1" applyFill="1" applyFont="1">
      <alignment horizontal="center" vertical="center"/>
    </xf>
    <xf borderId="0" fillId="7" fontId="3" numFmtId="0" xfId="0" applyAlignment="1" applyFont="1">
      <alignment horizontal="center" vertical="center"/>
    </xf>
    <xf borderId="0" fillId="7" fontId="3" numFmtId="0" xfId="0" applyAlignment="1" applyFont="1">
      <alignment horizontal="center" vertical="center"/>
    </xf>
    <xf borderId="0" fillId="7" fontId="1" numFmtId="0" xfId="0" applyAlignment="1" applyFont="1">
      <alignment horizontal="center" vertical="center"/>
    </xf>
    <xf borderId="0" fillId="7" fontId="5" numFmtId="0" xfId="0" applyAlignment="1" applyFont="1">
      <alignment horizontal="center" vertical="center" wrapText="1"/>
    </xf>
    <xf borderId="0" fillId="7" fontId="6" numFmtId="0" xfId="0" applyAlignment="1" applyFont="1">
      <alignment horizontal="center" vertical="center" wrapText="1"/>
    </xf>
    <xf borderId="0" fillId="3" fontId="7" numFmtId="0" xfId="0" applyAlignment="1" applyFont="1">
      <alignment horizontal="center" vertical="center"/>
    </xf>
    <xf borderId="0" fillId="4" fontId="8" numFmtId="0" xfId="0" applyAlignment="1" applyFont="1">
      <alignment horizontal="center" vertical="center"/>
    </xf>
    <xf borderId="0" fillId="4" fontId="9" numFmtId="0" xfId="0" applyAlignment="1" applyFont="1">
      <alignment horizontal="center" vertical="center"/>
    </xf>
    <xf borderId="0" fillId="4" fontId="3" numFmtId="0" xfId="0" applyAlignment="1" applyFont="1">
      <alignment horizontal="center" vertical="center"/>
    </xf>
    <xf borderId="0" fillId="4" fontId="3" numFmtId="0" xfId="0" applyAlignment="1" applyFont="1">
      <alignment horizontal="center" vertical="center"/>
    </xf>
    <xf borderId="0" fillId="4" fontId="3" numFmtId="0" xfId="0" applyAlignment="1" applyFont="1">
      <alignment horizontal="center" vertical="center" wrapText="1"/>
    </xf>
    <xf borderId="1" fillId="7" fontId="3" numFmtId="0" xfId="0" applyAlignment="1" applyBorder="1" applyFont="1">
      <alignment horizontal="center" vertical="center"/>
    </xf>
    <xf borderId="0" fillId="4" fontId="1" numFmtId="0" xfId="0" applyAlignment="1" applyFont="1">
      <alignment horizontal="center"/>
    </xf>
    <xf borderId="0" fillId="4" fontId="10" numFmtId="0" xfId="0" applyAlignment="1" applyFont="1">
      <alignment/>
    </xf>
    <xf borderId="1" fillId="3" fontId="11" numFmtId="0" xfId="0" applyAlignment="1" applyBorder="1" applyFont="1">
      <alignment horizontal="center" vertical="center"/>
    </xf>
    <xf borderId="0" fillId="5" fontId="1" numFmtId="0" xfId="0" applyAlignment="1" applyFont="1">
      <alignment horizontal="center"/>
    </xf>
    <xf borderId="0" fillId="5" fontId="10" numFmtId="0" xfId="0" applyAlignment="1" applyFont="1">
      <alignment/>
    </xf>
    <xf borderId="1" fillId="3" fontId="11" numFmtId="0" xfId="0" applyAlignment="1" applyBorder="1" applyFont="1">
      <alignment horizontal="center" vertical="center"/>
    </xf>
    <xf borderId="0" fillId="2" fontId="2" numFmtId="0" xfId="0" applyAlignment="1" applyFont="1">
      <alignment horizontal="center" vertical="center" wrapText="1"/>
    </xf>
    <xf borderId="0" fillId="3" fontId="1" numFmtId="0" xfId="0" applyAlignment="1" applyFont="1">
      <alignment horizontal="center" vertical="center"/>
    </xf>
    <xf borderId="1" fillId="0" fontId="4" numFmtId="0" xfId="0" applyBorder="1" applyFont="1"/>
    <xf borderId="0" fillId="2" fontId="1" numFmtId="0" xfId="0" applyAlignment="1" applyFont="1">
      <alignment horizontal="center" vertical="center"/>
    </xf>
    <xf borderId="0" fillId="7" fontId="12" numFmtId="0" xfId="0" applyAlignment="1" applyFont="1">
      <alignment horizontal="right" vertical="center"/>
    </xf>
    <xf borderId="0" fillId="7" fontId="3" numFmtId="0" xfId="0" applyAlignment="1" applyFont="1">
      <alignment horizontal="center" vertical="center"/>
    </xf>
    <xf borderId="0" fillId="3" fontId="1" numFmtId="0" xfId="0" applyAlignment="1" applyFont="1">
      <alignment horizontal="center" vertical="center"/>
    </xf>
    <xf borderId="0" fillId="3" fontId="1" numFmtId="0" xfId="0" applyAlignment="1" applyFont="1">
      <alignment horizontal="center" vertical="center"/>
    </xf>
    <xf borderId="0" fillId="3" fontId="3" numFmtId="0" xfId="0" applyAlignment="1" applyFont="1">
      <alignment horizontal="center" vertical="center"/>
    </xf>
    <xf borderId="0" fillId="3" fontId="12" numFmtId="0" xfId="0" applyAlignment="1" applyFont="1">
      <alignment horizontal="center" vertical="center"/>
    </xf>
    <xf borderId="0" fillId="7" fontId="13" numFmtId="0" xfId="0" applyAlignment="1" applyFont="1">
      <alignment horizontal="center" vertical="center" wrapText="1"/>
    </xf>
    <xf borderId="0" fillId="4" fontId="1" numFmtId="0" xfId="0" applyAlignment="1" applyFont="1">
      <alignment horizontal="center" vertical="center"/>
    </xf>
    <xf borderId="0" fillId="4" fontId="1" numFmtId="0" xfId="0" applyAlignment="1" applyFont="1">
      <alignment horizontal="center" vertical="center"/>
    </xf>
    <xf borderId="0" fillId="4" fontId="14" numFmtId="0" xfId="0" applyAlignment="1" applyFont="1">
      <alignment horizontal="center" vertical="center"/>
    </xf>
    <xf borderId="0" fillId="4" fontId="15" numFmtId="0" xfId="0" applyAlignment="1" applyFont="1">
      <alignment horizontal="center" vertical="center"/>
    </xf>
    <xf borderId="0" fillId="8" fontId="7" numFmtId="0" xfId="0" applyAlignment="1" applyFill="1" applyFont="1">
      <alignment horizontal="center" vertical="center"/>
    </xf>
    <xf borderId="0" fillId="2" fontId="1" numFmtId="0" xfId="0" applyAlignment="1" applyFont="1">
      <alignment horizontal="center" vertical="center"/>
    </xf>
    <xf borderId="2" fillId="5" fontId="1" numFmtId="0" xfId="0" applyAlignment="1" applyBorder="1" applyFont="1">
      <alignment horizontal="center" vertical="center"/>
    </xf>
    <xf borderId="3" fillId="5" fontId="1" numFmtId="0" xfId="0" applyAlignment="1" applyBorder="1" applyFont="1">
      <alignment horizontal="center" vertical="center"/>
    </xf>
    <xf borderId="4" fillId="4" fontId="1" numFmtId="0" xfId="0" applyAlignment="1" applyBorder="1" applyFont="1">
      <alignment horizontal="center" vertical="center"/>
    </xf>
    <xf borderId="0" fillId="7" fontId="16" numFmtId="0" xfId="0" applyAlignment="1" applyFont="1">
      <alignment horizontal="center" vertical="center" wrapText="1"/>
    </xf>
    <xf borderId="5" fillId="5" fontId="16" numFmtId="0" xfId="0" applyAlignment="1" applyBorder="1" applyFont="1">
      <alignment horizontal="center" vertical="center" wrapText="1"/>
    </xf>
    <xf borderId="6" fillId="5" fontId="9" numFmtId="0" xfId="0" applyAlignment="1" applyBorder="1" applyFont="1">
      <alignment horizontal="left" vertical="top" wrapText="1"/>
    </xf>
    <xf borderId="7" fillId="0" fontId="4" numFmtId="0" xfId="0" applyBorder="1" applyFont="1"/>
    <xf borderId="8" fillId="0" fontId="4" numFmtId="0" xfId="0" applyBorder="1" applyFont="1"/>
    <xf borderId="0" fillId="5" fontId="1" numFmtId="0" xfId="0" applyAlignment="1" applyFont="1">
      <alignment horizontal="center" vertical="center"/>
    </xf>
    <xf borderId="0" fillId="5" fontId="17" numFmtId="0" xfId="0" applyAlignment="1" applyFont="1">
      <alignment horizontal="center" vertical="center"/>
    </xf>
    <xf borderId="0" fillId="5" fontId="17" numFmtId="0" xfId="0" applyAlignment="1" applyFont="1">
      <alignment horizontal="center" vertical="center"/>
    </xf>
    <xf borderId="0" fillId="5" fontId="17" numFmtId="0" xfId="0" applyAlignment="1" applyFont="1">
      <alignment horizontal="center" vertical="center"/>
    </xf>
    <xf borderId="0" fillId="5" fontId="18" numFmtId="0" xfId="0" applyAlignment="1" applyFont="1">
      <alignment horizontal="center" vertical="center"/>
    </xf>
    <xf borderId="0" fillId="0" fontId="19" numFmtId="0" xfId="0" applyFont="1"/>
    <xf borderId="0" fillId="5" fontId="14" numFmtId="0" xfId="0" applyAlignment="1" applyFont="1">
      <alignment horizontal="center" vertical="center"/>
    </xf>
    <xf borderId="0" fillId="3" fontId="3" numFmtId="0" xfId="0" applyAlignment="1" applyFont="1">
      <alignment horizontal="center" vertical="center"/>
    </xf>
    <xf borderId="0" fillId="4" fontId="1" numFmtId="0" xfId="0" applyAlignment="1" applyFont="1">
      <alignment horizontal="center" vertical="center"/>
    </xf>
    <xf borderId="0" fillId="9" fontId="19" numFmtId="0" xfId="0" applyAlignment="1" applyFill="1" applyFont="1">
      <alignment horizontal="left" vertical="center"/>
    </xf>
    <xf borderId="5" fillId="4" fontId="16" numFmtId="0" xfId="0" applyAlignment="1" applyBorder="1" applyFont="1">
      <alignment horizontal="center" vertical="center" wrapText="1"/>
    </xf>
    <xf borderId="0" fillId="2" fontId="20" numFmtId="0" xfId="0" applyAlignment="1" applyFont="1">
      <alignment horizontal="center" vertical="center"/>
    </xf>
    <xf borderId="6" fillId="4" fontId="9" numFmtId="0" xfId="0" applyAlignment="1" applyBorder="1" applyFont="1">
      <alignment horizontal="left" vertical="top" wrapText="1"/>
    </xf>
    <xf borderId="0" fillId="2" fontId="20" numFmtId="0" xfId="0" applyAlignment="1" applyFont="1">
      <alignment horizontal="center" vertical="center"/>
    </xf>
    <xf borderId="0" fillId="4" fontId="17" numFmtId="0" xfId="0" applyAlignment="1" applyFont="1">
      <alignment horizontal="center" vertical="center"/>
    </xf>
    <xf borderId="0" fillId="9" fontId="19" numFmtId="0" xfId="0" applyAlignment="1" applyFont="1">
      <alignment horizontal="left" vertical="center"/>
    </xf>
    <xf borderId="0" fillId="4" fontId="17" numFmtId="0" xfId="0" applyAlignment="1" applyFont="1">
      <alignment horizontal="center" vertical="center"/>
    </xf>
    <xf borderId="0" fillId="4" fontId="17" numFmtId="0" xfId="0" applyAlignment="1" applyFont="1">
      <alignment horizontal="center" vertical="center"/>
    </xf>
    <xf borderId="0" fillId="4" fontId="17" numFmtId="0" xfId="0" applyAlignment="1" applyFont="1">
      <alignment horizontal="center" vertical="center"/>
    </xf>
    <xf borderId="0" fillId="4" fontId="18" numFmtId="0" xfId="0" applyAlignment="1" applyFont="1">
      <alignment horizontal="center" vertical="center"/>
    </xf>
    <xf borderId="0" fillId="4" fontId="14" numFmtId="0" xfId="0" applyAlignment="1" applyFont="1">
      <alignment horizontal="center" vertical="center"/>
    </xf>
    <xf borderId="0" fillId="6" fontId="4" numFmtId="0" xfId="0" applyAlignment="1" applyFont="1">
      <alignment horizontal="center" vertical="center"/>
    </xf>
    <xf borderId="0" fillId="4" fontId="21" numFmtId="0" xfId="0" applyAlignment="1" applyFont="1">
      <alignment horizontal="center" vertical="center"/>
    </xf>
    <xf borderId="0" fillId="4" fontId="1" numFmtId="0" xfId="0" applyAlignment="1" applyFont="1">
      <alignment horizontal="left" vertical="center" wrapText="1"/>
    </xf>
    <xf borderId="0" fillId="5" fontId="17" numFmtId="0" xfId="0" applyAlignment="1" applyFont="1">
      <alignment horizontal="center" vertical="center"/>
    </xf>
    <xf borderId="0" fillId="5" fontId="18" numFmtId="0" xfId="0" applyAlignment="1" applyFont="1">
      <alignment horizontal="center" vertical="center"/>
    </xf>
    <xf borderId="0" fillId="5" fontId="14" numFmtId="0" xfId="0" applyAlignment="1" applyFont="1">
      <alignment horizontal="center" vertical="center"/>
    </xf>
    <xf borderId="9" fillId="3" fontId="3" numFmtId="0" xfId="0" applyAlignment="1" applyBorder="1" applyFont="1">
      <alignment horizontal="center" vertical="center"/>
    </xf>
    <xf borderId="9" fillId="0" fontId="4" numFmtId="0" xfId="0" applyBorder="1" applyFont="1"/>
    <xf borderId="0" fillId="7" fontId="22" numFmtId="0" xfId="0" applyAlignment="1" applyFont="1">
      <alignment horizontal="center" vertical="center"/>
    </xf>
    <xf borderId="0" fillId="4" fontId="21" numFmtId="0" xfId="0" applyAlignment="1" applyFont="1">
      <alignment horizontal="center" vertical="center"/>
    </xf>
    <xf borderId="0" fillId="5" fontId="1" numFmtId="0" xfId="0" applyAlignment="1" applyFont="1">
      <alignment horizontal="center" vertical="center"/>
    </xf>
    <xf borderId="0" fillId="0" fontId="19" numFmtId="0" xfId="0" applyAlignment="1" applyFont="1">
      <alignment horizontal="center" vertical="center"/>
    </xf>
    <xf borderId="0" fillId="2" fontId="23" numFmtId="0" xfId="0" applyAlignment="1" applyFont="1">
      <alignment horizontal="left" vertical="center"/>
    </xf>
    <xf borderId="0" fillId="4" fontId="18" numFmtId="0" xfId="0" applyAlignment="1" applyFont="1">
      <alignment horizontal="center" vertical="center"/>
    </xf>
    <xf borderId="0" fillId="9" fontId="23" numFmtId="0" xfId="0" applyAlignment="1" applyFont="1">
      <alignment horizontal="center" vertical="center"/>
    </xf>
    <xf borderId="2" fillId="4" fontId="1" numFmtId="0" xfId="0" applyAlignment="1" applyBorder="1" applyFont="1">
      <alignment horizontal="center" vertical="center"/>
    </xf>
    <xf borderId="10" fillId="4" fontId="1" numFmtId="0" xfId="0" applyAlignment="1" applyBorder="1" applyFont="1">
      <alignment horizontal="center" vertical="center"/>
    </xf>
    <xf borderId="11" fillId="4" fontId="1" numFmtId="0" xfId="0" applyAlignment="1" applyBorder="1" applyFont="1">
      <alignment horizontal="center" vertical="center"/>
    </xf>
    <xf borderId="0" fillId="0" fontId="19" numFmtId="0" xfId="0" applyAlignment="1" applyFont="1">
      <alignment horizontal="center" vertical="center"/>
    </xf>
    <xf borderId="11" fillId="4" fontId="1" numFmtId="0" xfId="0" applyAlignment="1" applyBorder="1" applyFont="1">
      <alignment horizontal="center" vertical="center"/>
    </xf>
    <xf borderId="0" fillId="8" fontId="24" numFmtId="0" xfId="0" applyAlignment="1" applyFont="1">
      <alignment horizontal="center" vertical="center"/>
    </xf>
    <xf borderId="0" fillId="4" fontId="4" numFmtId="0" xfId="0" applyAlignment="1" applyFont="1">
      <alignment horizontal="left" vertical="center"/>
    </xf>
    <xf borderId="0" fillId="9" fontId="19" numFmtId="0" xfId="0" applyAlignment="1" applyFont="1">
      <alignment horizontal="center" vertical="center"/>
    </xf>
    <xf borderId="5" fillId="4" fontId="25" numFmtId="0" xfId="0" applyAlignment="1" applyBorder="1" applyFont="1">
      <alignment horizontal="center" vertical="center" wrapText="1"/>
    </xf>
    <xf borderId="0" fillId="6" fontId="10" numFmtId="0" xfId="0" applyAlignment="1" applyFont="1">
      <alignment horizontal="center" vertical="center"/>
    </xf>
    <xf borderId="5" fillId="5" fontId="25" numFmtId="0" xfId="0" applyAlignment="1" applyBorder="1" applyFont="1">
      <alignment horizontal="center" vertical="center" wrapText="1"/>
    </xf>
    <xf borderId="0" fillId="5" fontId="18" numFmtId="0" xfId="0" applyAlignment="1" applyFont="1">
      <alignment horizontal="center" vertical="center"/>
    </xf>
    <xf borderId="0" fillId="5" fontId="14" numFmtId="0" xfId="0" applyAlignment="1" applyFont="1">
      <alignment horizontal="center" vertical="center"/>
    </xf>
    <xf borderId="0" fillId="4" fontId="26" numFmtId="0" xfId="0" applyAlignment="1" applyFont="1">
      <alignment horizontal="left" vertical="top" wrapText="1"/>
    </xf>
    <xf borderId="10" fillId="4" fontId="1" numFmtId="0" xfId="0" applyAlignment="1" applyBorder="1" applyFont="1">
      <alignment horizontal="center" vertical="center"/>
    </xf>
    <xf borderId="0" fillId="9" fontId="19" numFmtId="0" xfId="0" applyAlignment="1" applyFont="1">
      <alignment horizontal="center" vertical="center"/>
    </xf>
    <xf borderId="0" fillId="3" fontId="27" numFmtId="0" xfId="0" applyFont="1"/>
    <xf borderId="0" fillId="4" fontId="14" numFmtId="0" xfId="0" applyAlignment="1" applyFont="1">
      <alignment horizontal="center" vertical="center"/>
    </xf>
    <xf borderId="0" fillId="3" fontId="27" numFmtId="0" xfId="0" applyAlignment="1" applyFont="1">
      <alignment horizontal="left" vertical="center"/>
    </xf>
    <xf borderId="5" fillId="4" fontId="16" numFmtId="0" xfId="0" applyAlignment="1" applyBorder="1" applyFont="1">
      <alignment horizontal="center" vertical="center" wrapText="1"/>
    </xf>
    <xf borderId="0" fillId="3" fontId="27" numFmtId="0" xfId="0" applyAlignment="1" applyFont="1">
      <alignment horizontal="left" vertical="center"/>
    </xf>
    <xf borderId="5" fillId="5" fontId="16" numFmtId="0" xfId="0" applyAlignment="1" applyBorder="1" applyFont="1">
      <alignment horizontal="center" vertical="center" wrapText="1"/>
    </xf>
    <xf borderId="2" fillId="4" fontId="1" numFmtId="0" xfId="0" applyAlignment="1" applyBorder="1" applyFont="1">
      <alignment horizontal="center" vertical="center"/>
    </xf>
    <xf borderId="0" fillId="3" fontId="27" numFmtId="0" xfId="0" applyAlignment="1" applyFont="1">
      <alignment horizontal="left" vertical="center"/>
    </xf>
    <xf borderId="0" fillId="3" fontId="27" numFmtId="0" xfId="0" applyAlignment="1" applyFont="1">
      <alignment horizontal="left" vertical="center" wrapText="1"/>
    </xf>
    <xf borderId="0" fillId="7" fontId="13" numFmtId="0" xfId="0" applyAlignment="1" applyFont="1">
      <alignment horizontal="center" vertical="center"/>
    </xf>
    <xf borderId="12" fillId="4" fontId="1" numFmtId="0" xfId="0" applyAlignment="1" applyBorder="1" applyFont="1">
      <alignment horizontal="center" vertical="center"/>
    </xf>
    <xf borderId="13" fillId="4" fontId="1" numFmtId="0" xfId="0" applyAlignment="1" applyBorder="1" applyFont="1">
      <alignment horizontal="center" vertical="center"/>
    </xf>
    <xf borderId="13" fillId="4" fontId="1" numFmtId="0" xfId="0" applyAlignment="1" applyBorder="1" applyFont="1">
      <alignment horizontal="center" vertical="center"/>
    </xf>
    <xf borderId="14" fillId="4" fontId="1" numFmtId="0" xfId="0" applyAlignment="1" applyBorder="1" applyFont="1">
      <alignment horizontal="center" vertical="center"/>
    </xf>
    <xf borderId="0" fillId="7" fontId="1" numFmtId="0" xfId="0" applyAlignment="1" applyFont="1">
      <alignment horizontal="center" vertical="center"/>
    </xf>
    <xf borderId="0" fillId="7" fontId="17" numFmtId="0" xfId="0" applyAlignment="1" applyFont="1">
      <alignment horizontal="center" vertical="center"/>
    </xf>
    <xf borderId="0" fillId="3" fontId="9" numFmtId="0" xfId="0" applyAlignment="1" applyFont="1">
      <alignment horizontal="center" vertical="center" wrapText="1"/>
    </xf>
    <xf borderId="15" fillId="3" fontId="27" numFmtId="0" xfId="0" applyAlignment="1" applyBorder="1" applyFont="1">
      <alignment horizontal="left" vertical="center"/>
    </xf>
    <xf borderId="0" fillId="8" fontId="3" numFmtId="0" xfId="0" applyAlignment="1" applyFont="1">
      <alignment horizontal="center"/>
    </xf>
    <xf borderId="0" fillId="4" fontId="4" numFmtId="0" xfId="0" applyAlignment="1" applyFont="1">
      <alignment horizontal="left" vertical="top" wrapText="1"/>
    </xf>
    <xf borderId="0" fillId="9" fontId="19" numFmtId="0" xfId="0" applyAlignment="1" applyFont="1">
      <alignment horizontal="center" vertical="center" wrapText="1"/>
    </xf>
    <xf borderId="0" fillId="8" fontId="3" numFmtId="0" xfId="0" applyAlignment="1" applyFont="1">
      <alignment horizontal="center"/>
    </xf>
    <xf borderId="0" fillId="8" fontId="28" numFmtId="0" xfId="0" applyAlignment="1" applyFont="1">
      <alignment horizontal="center" vertical="center"/>
    </xf>
    <xf borderId="0" fillId="0" fontId="19" numFmtId="0" xfId="0" applyAlignment="1" applyFont="1">
      <alignment horizontal="center" vertical="center" wrapText="1"/>
    </xf>
    <xf borderId="0" fillId="7" fontId="29" numFmtId="0" xfId="0" applyAlignment="1" applyFont="1">
      <alignment horizontal="center" vertical="center"/>
    </xf>
    <xf borderId="9" fillId="4" fontId="4" numFmtId="0" xfId="0" applyAlignment="1" applyBorder="1" applyFont="1">
      <alignment horizontal="left" vertical="top" wrapText="1"/>
    </xf>
    <xf borderId="0" fillId="7" fontId="13" numFmtId="0" xfId="0" applyAlignment="1" applyFont="1">
      <alignment horizontal="center" vertical="center"/>
    </xf>
    <xf borderId="0" fillId="7" fontId="13" numFmtId="0" xfId="0" applyAlignment="1" applyFont="1">
      <alignment horizontal="center" vertical="center"/>
    </xf>
    <xf borderId="1" fillId="4" fontId="30" numFmtId="0" xfId="0" applyAlignment="1" applyBorder="1" applyFont="1">
      <alignment horizontal="center" vertical="center"/>
    </xf>
    <xf borderId="1" fillId="4" fontId="30" numFmtId="0" xfId="0" applyAlignment="1" applyBorder="1" applyFont="1">
      <alignment horizontal="center" vertical="center"/>
    </xf>
    <xf borderId="0" fillId="10" fontId="3" numFmtId="0" xfId="0" applyAlignment="1" applyFill="1" applyFont="1">
      <alignment horizontal="center" vertical="center"/>
    </xf>
    <xf borderId="0" fillId="4" fontId="3" numFmtId="3" xfId="0" applyAlignment="1" applyFont="1" applyNumberFormat="1">
      <alignment horizontal="center" vertical="center"/>
    </xf>
    <xf borderId="0" fillId="10" fontId="28" numFmtId="0" xfId="0" applyAlignment="1" applyFont="1">
      <alignment horizontal="center" vertical="center"/>
    </xf>
    <xf borderId="0" fillId="7" fontId="31" numFmtId="0" xfId="0" applyAlignment="1" applyFont="1">
      <alignment horizontal="center" vertical="center"/>
    </xf>
    <xf borderId="0" fillId="7" fontId="10" numFmtId="0" xfId="0" applyAlignment="1" applyFont="1">
      <alignment horizontal="center" vertical="center"/>
    </xf>
    <xf borderId="0" fillId="3" fontId="28" numFmtId="0" xfId="0" applyAlignment="1" applyFont="1">
      <alignment horizontal="center" vertical="center"/>
    </xf>
    <xf borderId="0" fillId="7" fontId="3" numFmtId="0" xfId="0" applyAlignment="1" applyFont="1">
      <alignment horizontal="center"/>
    </xf>
    <xf borderId="0" fillId="7" fontId="1" numFmtId="0" xfId="0" applyAlignment="1" applyFont="1">
      <alignment horizontal="center"/>
    </xf>
    <xf borderId="0" fillId="8" fontId="14" numFmtId="0" xfId="0" applyAlignment="1" applyFont="1">
      <alignment horizontal="center" vertical="center"/>
    </xf>
    <xf borderId="0" fillId="9" fontId="4" numFmtId="0" xfId="0" applyAlignment="1" applyFont="1">
      <alignment horizontal="left" vertical="top" wrapText="1"/>
    </xf>
    <xf borderId="0" fillId="8" fontId="1" numFmtId="0" xfId="0" applyAlignment="1" applyFont="1">
      <alignment horizontal="center" vertical="center"/>
    </xf>
    <xf borderId="0" fillId="3" fontId="3" numFmtId="0" xfId="0" applyAlignment="1" applyFont="1">
      <alignment horizontal="left" vertical="center"/>
    </xf>
    <xf borderId="0" fillId="3" fontId="1" numFmtId="0" xfId="0" applyAlignment="1" applyFont="1">
      <alignment horizontal="center" vertical="center"/>
    </xf>
    <xf borderId="0" fillId="9" fontId="32" numFmtId="0" xfId="0" applyAlignment="1" applyFont="1">
      <alignment horizontal="left" vertical="top" wrapText="1"/>
    </xf>
    <xf borderId="0" fillId="9" fontId="33" numFmtId="0" xfId="0" applyAlignment="1" applyFont="1">
      <alignment horizontal="left" vertical="top" wrapText="1"/>
    </xf>
    <xf borderId="0" fillId="8" fontId="30" numFmtId="0" xfId="0" applyAlignment="1" applyFont="1">
      <alignment horizontal="center" vertical="center"/>
    </xf>
    <xf borderId="0" fillId="8" fontId="1" numFmtId="0" xfId="0" applyAlignment="1" applyFont="1">
      <alignment horizontal="center"/>
    </xf>
    <xf borderId="0" fillId="8" fontId="28" numFmtId="1" xfId="0" applyAlignment="1" applyFont="1" applyNumberFormat="1">
      <alignment horizontal="center" vertical="center"/>
    </xf>
    <xf borderId="0" fillId="9" fontId="19" numFmtId="0" xfId="0" applyFont="1"/>
    <xf borderId="0" fillId="8" fontId="28" numFmtId="1" xfId="0" applyAlignment="1" applyFont="1" applyNumberFormat="1">
      <alignment horizontal="center" vertical="center"/>
    </xf>
    <xf borderId="0" fillId="3" fontId="3" numFmtId="0" xfId="0" applyAlignment="1" applyFont="1">
      <alignment horizontal="center"/>
    </xf>
    <xf borderId="0" fillId="4" fontId="3" numFmtId="0" xfId="0" applyAlignment="1" applyFont="1">
      <alignment horizontal="center"/>
    </xf>
    <xf borderId="0" fillId="4" fontId="1" numFmtId="0" xfId="0" applyAlignment="1" applyFont="1">
      <alignment horizontal="left" vertical="top" wrapText="1"/>
    </xf>
    <xf borderId="0" fillId="7" fontId="1" numFmtId="0" xfId="0" applyAlignment="1" applyFont="1">
      <alignment horizontal="center" vertical="center"/>
    </xf>
    <xf borderId="0" fillId="7" fontId="17" numFmtId="0" xfId="0" applyAlignment="1" applyFont="1">
      <alignment horizontal="center" vertical="center"/>
    </xf>
    <xf borderId="1" fillId="4" fontId="28" numFmtId="0" xfId="0" applyAlignment="1" applyBorder="1" applyFont="1">
      <alignment horizontal="center" vertical="center"/>
    </xf>
    <xf borderId="0" fillId="4" fontId="28" numFmtId="0" xfId="0" applyAlignment="1" applyFont="1">
      <alignment horizontal="center" vertical="center"/>
    </xf>
    <xf borderId="0" fillId="4" fontId="30" numFmtId="0" xfId="0" applyAlignment="1" applyFont="1">
      <alignment horizontal="center" vertical="center"/>
    </xf>
    <xf borderId="0" fillId="4" fontId="30" numFmtId="0" xfId="0" applyAlignment="1" applyFont="1">
      <alignment horizontal="center" vertical="center"/>
    </xf>
    <xf borderId="0" fillId="8" fontId="3" numFmtId="0" xfId="0" applyAlignment="1" applyFont="1">
      <alignment horizontal="center"/>
    </xf>
    <xf borderId="0" fillId="5" fontId="3" numFmtId="0" xfId="0" applyAlignment="1" applyFont="1">
      <alignment horizontal="center"/>
    </xf>
    <xf borderId="0" fillId="3" fontId="11" numFmtId="0" xfId="0" applyAlignment="1" applyFont="1">
      <alignment horizontal="center" vertical="center"/>
    </xf>
    <xf borderId="0" fillId="3" fontId="34" numFmtId="0" xfId="0" applyFont="1"/>
    <xf borderId="0" fillId="3" fontId="11" numFmtId="0" xfId="0" applyFont="1"/>
    <xf borderId="0" fillId="3" fontId="11" numFmtId="0" xfId="0" applyAlignment="1" applyFont="1">
      <alignment horizontal="center" vertical="center"/>
    </xf>
    <xf borderId="0" fillId="3" fontId="11" numFmtId="1" xfId="0" applyAlignment="1" applyFont="1" applyNumberFormat="1">
      <alignment horizontal="center" vertical="center"/>
    </xf>
    <xf borderId="0" fillId="3" fontId="11" numFmtId="0" xfId="0" applyAlignment="1" applyFont="1">
      <alignment horizontal="center" vertical="center"/>
    </xf>
    <xf borderId="0" fillId="7" fontId="13" numFmtId="1" xfId="0" applyAlignment="1" applyFont="1" applyNumberFormat="1">
      <alignment horizontal="center" vertical="center"/>
    </xf>
    <xf borderId="9" fillId="3" fontId="3" numFmtId="0" xfId="0" applyAlignment="1" applyBorder="1" applyFont="1">
      <alignment horizontal="center" vertical="center"/>
    </xf>
    <xf borderId="0" fillId="3" fontId="11" numFmtId="1" xfId="0" applyAlignment="1" applyFont="1" applyNumberFormat="1">
      <alignment horizontal="center" vertical="center"/>
    </xf>
    <xf borderId="0" fillId="8" fontId="28" numFmtId="0" xfId="0" applyAlignment="1" applyFont="1">
      <alignment horizontal="center" vertical="center"/>
    </xf>
    <xf borderId="0" fillId="2" fontId="35" numFmtId="0" xfId="0" applyAlignment="1" applyFont="1">
      <alignment horizontal="center" vertical="center" wrapText="1"/>
    </xf>
    <xf borderId="0" fillId="2" fontId="35" numFmtId="0" xfId="0" applyAlignment="1" applyFont="1">
      <alignment horizontal="center" vertical="center"/>
    </xf>
    <xf borderId="0" fillId="8" fontId="3" numFmtId="1" xfId="0" applyAlignment="1" applyFont="1" applyNumberFormat="1">
      <alignment horizontal="center" vertical="center"/>
    </xf>
    <xf borderId="0" fillId="8" fontId="3" numFmtId="3" xfId="0" applyAlignment="1" applyFont="1" applyNumberFormat="1">
      <alignment horizontal="center" vertical="center"/>
    </xf>
    <xf borderId="0" fillId="2" fontId="36" numFmtId="0" xfId="0" applyAlignment="1" applyFont="1">
      <alignment horizontal="center" vertical="center" wrapText="1"/>
    </xf>
    <xf borderId="0" fillId="4" fontId="37" numFmtId="0" xfId="0" applyAlignment="1" applyFont="1">
      <alignment horizontal="center" vertical="center"/>
    </xf>
    <xf borderId="0" fillId="4" fontId="32" numFmtId="0" xfId="0" applyAlignment="1" applyFont="1">
      <alignment horizontal="center" vertical="center"/>
    </xf>
    <xf borderId="0" fillId="4" fontId="4" numFmtId="0" xfId="0" applyAlignment="1" applyFont="1">
      <alignment horizontal="center" vertical="center"/>
    </xf>
    <xf borderId="0" fillId="3" fontId="38" numFmtId="0" xfId="0" applyAlignment="1" applyFont="1">
      <alignment horizontal="center" vertical="center"/>
    </xf>
    <xf borderId="0" fillId="4" fontId="32" numFmtId="0" xfId="0" applyAlignment="1" applyFont="1">
      <alignment horizontal="center" vertical="center"/>
    </xf>
    <xf borderId="0" fillId="4" fontId="17" numFmtId="0" xfId="0" applyAlignment="1" applyFont="1">
      <alignment horizontal="center" vertical="center"/>
    </xf>
    <xf borderId="0" fillId="4" fontId="4" numFmtId="0" xfId="0" applyAlignment="1" applyFont="1">
      <alignment horizontal="center" vertical="center"/>
    </xf>
    <xf borderId="0" fillId="7" fontId="39" numFmtId="0" xfId="0" applyAlignment="1" applyFont="1">
      <alignment horizontal="center"/>
    </xf>
    <xf borderId="9" fillId="4" fontId="17" numFmtId="0" xfId="0" applyAlignment="1" applyBorder="1" applyFont="1">
      <alignment horizontal="center" vertical="center"/>
    </xf>
    <xf borderId="9" fillId="8" fontId="28" numFmtId="0" xfId="0" applyAlignment="1" applyBorder="1" applyFont="1">
      <alignment horizontal="center" vertical="center"/>
    </xf>
    <xf borderId="9" fillId="4" fontId="1" numFmtId="0" xfId="0" applyAlignment="1" applyBorder="1" applyFont="1">
      <alignment horizontal="center" vertical="center"/>
    </xf>
    <xf borderId="9" fillId="8" fontId="3" numFmtId="0" xfId="0" applyAlignment="1" applyBorder="1" applyFont="1">
      <alignment horizontal="center" vertical="center"/>
    </xf>
    <xf borderId="1" fillId="4" fontId="17" numFmtId="0" xfId="0" applyAlignment="1" applyBorder="1" applyFont="1">
      <alignment horizontal="center" vertical="center"/>
    </xf>
    <xf borderId="0" fillId="3" fontId="40" numFmtId="0" xfId="0" applyAlignment="1" applyFont="1">
      <alignment horizontal="center" vertical="center" wrapText="1"/>
    </xf>
    <xf borderId="0" fillId="7" fontId="28" numFmtId="0" xfId="0" applyAlignment="1" applyFont="1">
      <alignment horizontal="center" vertical="center"/>
    </xf>
    <xf borderId="16" fillId="7" fontId="28" numFmtId="0" xfId="0" applyAlignment="1" applyBorder="1" applyFont="1">
      <alignment horizontal="left" vertical="center"/>
    </xf>
    <xf borderId="0" fillId="7" fontId="41" numFmtId="0" xfId="0" applyAlignment="1" applyFont="1">
      <alignment horizontal="left" vertical="center"/>
    </xf>
    <xf borderId="0" fillId="7" fontId="41" numFmtId="0" xfId="0" applyAlignment="1" applyFont="1">
      <alignment horizontal="center" vertical="center"/>
    </xf>
    <xf borderId="0" fillId="7" fontId="4" numFmtId="0" xfId="0" applyAlignment="1" applyFont="1">
      <alignment horizontal="center" vertical="center"/>
    </xf>
    <xf borderId="0" fillId="4" fontId="17" numFmtId="0" xfId="0" applyAlignment="1" applyFont="1">
      <alignment horizontal="center" vertical="center"/>
    </xf>
    <xf borderId="0" fillId="7" fontId="20" numFmtId="0" xfId="0" applyAlignment="1" applyFont="1">
      <alignment horizontal="center" vertical="center"/>
    </xf>
    <xf borderId="0" fillId="4" fontId="4" numFmtId="0" xfId="0" applyAlignment="1" applyFont="1">
      <alignment horizontal="center" vertical="center"/>
    </xf>
    <xf borderId="0" fillId="11" fontId="40" numFmtId="0" xfId="0" applyAlignment="1" applyFill="1" applyFont="1">
      <alignment horizontal="center" vertical="center" wrapText="1"/>
    </xf>
    <xf borderId="0" fillId="3" fontId="30" numFmtId="0" xfId="0" applyAlignment="1" applyFont="1">
      <alignment horizontal="center" vertical="center"/>
    </xf>
    <xf borderId="1" fillId="4" fontId="4" numFmtId="0" xfId="0" applyAlignment="1" applyBorder="1" applyFont="1">
      <alignment horizontal="center" vertical="center"/>
    </xf>
    <xf borderId="0" fillId="3" fontId="30" numFmtId="0" xfId="0" applyAlignment="1" applyFont="1">
      <alignment horizontal="left" vertical="center"/>
    </xf>
    <xf borderId="17" fillId="9" fontId="42" numFmtId="0" xfId="0" applyAlignment="1" applyBorder="1" applyFont="1">
      <alignment horizontal="center" vertical="center"/>
    </xf>
    <xf borderId="0" fillId="7" fontId="43" numFmtId="0" xfId="0" applyAlignment="1" applyFont="1">
      <alignment horizontal="center" vertical="center"/>
    </xf>
    <xf borderId="18" fillId="4" fontId="44" numFmtId="0" xfId="0" applyAlignment="1" applyBorder="1" applyFont="1">
      <alignment horizontal="center" vertical="center"/>
    </xf>
    <xf borderId="0" fillId="4" fontId="12" numFmtId="0" xfId="0" applyAlignment="1" applyFont="1">
      <alignment horizontal="left" vertical="top"/>
    </xf>
    <xf borderId="0" fillId="7" fontId="4" numFmtId="0" xfId="0" applyFont="1"/>
    <xf borderId="0" fillId="6" fontId="4" numFmtId="0" xfId="0" applyFont="1"/>
    <xf borderId="0" fillId="5" fontId="30" numFmtId="0" xfId="0" applyAlignment="1" applyFont="1">
      <alignment horizontal="center" vertical="center"/>
    </xf>
    <xf borderId="0" fillId="7" fontId="30" numFmtId="0" xfId="0" applyAlignment="1" applyFont="1">
      <alignment horizontal="center" vertical="center"/>
    </xf>
    <xf borderId="18" fillId="5" fontId="44" numFmtId="0" xfId="0" applyAlignment="1" applyBorder="1" applyFont="1">
      <alignment horizontal="center" vertical="center"/>
    </xf>
    <xf borderId="0" fillId="5" fontId="12" numFmtId="0" xfId="0" applyAlignment="1" applyFont="1">
      <alignment horizontal="left" vertical="top"/>
    </xf>
    <xf borderId="0" fillId="3" fontId="11" numFmtId="0" xfId="0" applyAlignment="1" applyFont="1">
      <alignment horizontal="center"/>
    </xf>
    <xf borderId="0" fillId="3" fontId="11" numFmtId="0" xfId="0" applyAlignment="1" applyFont="1">
      <alignment horizontal="center"/>
    </xf>
    <xf borderId="0" fillId="2" fontId="19" numFmtId="0" xfId="0" applyAlignment="1" applyFont="1">
      <alignment horizontal="center" vertical="center"/>
    </xf>
    <xf borderId="0" fillId="2" fontId="35" numFmtId="0" xfId="0" applyAlignment="1" applyFont="1">
      <alignment horizontal="center" vertical="center"/>
    </xf>
    <xf borderId="0" fillId="2" fontId="35" numFmtId="0" xfId="0" applyAlignment="1" applyFont="1">
      <alignment horizontal="center" vertical="center"/>
    </xf>
    <xf borderId="0" fillId="2" fontId="35" numFmtId="0" xfId="0" applyAlignment="1" applyFont="1">
      <alignment horizontal="center" vertical="center"/>
    </xf>
    <xf borderId="0" fillId="2" fontId="35" numFmtId="0" xfId="0" applyAlignment="1" applyFont="1">
      <alignment horizontal="left" vertical="center"/>
    </xf>
    <xf borderId="0" fillId="2" fontId="35" numFmtId="0" xfId="0" applyAlignment="1" applyFont="1">
      <alignment horizontal="left" vertical="center"/>
    </xf>
    <xf borderId="0" fillId="2" fontId="36" numFmtId="0" xfId="0" applyAlignment="1" applyFont="1">
      <alignment horizontal="left"/>
    </xf>
    <xf borderId="0" fillId="2" fontId="35" numFmtId="0" xfId="0" applyAlignment="1" applyFont="1">
      <alignment horizontal="left"/>
    </xf>
    <xf borderId="0" fillId="2" fontId="19" numFmtId="0" xfId="0" applyFont="1"/>
    <xf borderId="0" fillId="7" fontId="19" numFmtId="0" xfId="0" applyAlignment="1" applyFont="1">
      <alignment horizontal="center" vertical="center"/>
    </xf>
    <xf borderId="0" fillId="7" fontId="19" numFmtId="0" xfId="0" applyAlignment="1" applyFont="1">
      <alignment horizontal="center" vertical="center"/>
    </xf>
    <xf borderId="0" fillId="7" fontId="35" numFmtId="0" xfId="0" applyAlignment="1" applyFont="1">
      <alignment horizontal="center" vertical="center"/>
    </xf>
    <xf borderId="0" fillId="7" fontId="35" numFmtId="0" xfId="0" applyAlignment="1" applyFont="1">
      <alignment horizontal="center" vertical="center"/>
    </xf>
    <xf borderId="0" fillId="2" fontId="21" numFmtId="0" xfId="0" applyAlignment="1" applyFont="1">
      <alignment horizontal="center" vertical="center"/>
    </xf>
    <xf borderId="0" fillId="7" fontId="35" numFmtId="0" xfId="0" applyAlignment="1" applyFont="1">
      <alignment horizontal="left" vertical="center"/>
    </xf>
    <xf borderId="0" fillId="7" fontId="35" numFmtId="0" xfId="0" applyAlignment="1" applyFont="1">
      <alignment horizontal="left" vertical="center"/>
    </xf>
    <xf borderId="0" fillId="7" fontId="36" numFmtId="0" xfId="0" applyAlignment="1" applyFont="1">
      <alignment horizontal="left"/>
    </xf>
    <xf borderId="0" fillId="7" fontId="35" numFmtId="0" xfId="0" applyAlignment="1" applyFont="1">
      <alignment horizontal="left"/>
    </xf>
    <xf borderId="0" fillId="7" fontId="33" numFmtId="0" xfId="0" applyAlignment="1" applyFont="1">
      <alignment horizontal="center" vertical="center"/>
    </xf>
    <xf borderId="0" fillId="7" fontId="19" numFmtId="0" xfId="0" applyAlignment="1" applyFont="1">
      <alignment horizontal="center"/>
    </xf>
    <xf borderId="0" fillId="7" fontId="19" numFmtId="0" xfId="0" applyFont="1"/>
    <xf borderId="0" fillId="0" fontId="4" numFmtId="0" xfId="0" applyAlignment="1" applyFont="1">
      <alignment horizontal="center" vertical="center"/>
    </xf>
    <xf borderId="0" fillId="0" fontId="4" numFmtId="0" xfId="0" applyAlignment="1" applyFont="1">
      <alignment horizontal="center" vertical="center"/>
    </xf>
    <xf borderId="0" fillId="9" fontId="17" numFmtId="0" xfId="0" applyAlignment="1" applyFont="1">
      <alignment horizontal="center" vertical="center"/>
    </xf>
    <xf borderId="0" fillId="9" fontId="17" numFmtId="0" xfId="0" applyAlignment="1" applyFont="1">
      <alignment horizontal="center" vertical="center"/>
    </xf>
    <xf borderId="0" fillId="9" fontId="17" numFmtId="0" xfId="0" applyAlignment="1" applyFont="1">
      <alignment horizontal="left" vertical="center"/>
    </xf>
    <xf borderId="0" fillId="2" fontId="20" numFmtId="0" xfId="0" applyAlignment="1" applyFont="1">
      <alignment horizontal="center" vertical="center"/>
    </xf>
    <xf borderId="0" fillId="2" fontId="45" numFmtId="0" xfId="0" applyFont="1"/>
    <xf borderId="0" fillId="9" fontId="17" numFmtId="0" xfId="0" applyAlignment="1" applyFont="1">
      <alignment horizontal="left" vertical="center"/>
    </xf>
    <xf borderId="0" fillId="9" fontId="46" numFmtId="0" xfId="0" applyAlignment="1" applyFont="1">
      <alignment horizontal="left"/>
    </xf>
    <xf borderId="0" fillId="9" fontId="17" numFmtId="0" xfId="0" applyAlignment="1" applyFont="1">
      <alignment horizontal="left"/>
    </xf>
    <xf borderId="0" fillId="9" fontId="4" numFmtId="0" xfId="0" applyAlignment="1" applyFont="1">
      <alignment horizontal="center" vertical="center"/>
    </xf>
    <xf borderId="0" fillId="9" fontId="4" numFmtId="0" xfId="0" applyAlignment="1" applyFont="1">
      <alignment horizontal="center" vertical="center"/>
    </xf>
    <xf borderId="0" fillId="7" fontId="39" numFmtId="0" xfId="0" applyAlignment="1" applyFont="1">
      <alignment horizontal="center" vertical="center"/>
    </xf>
    <xf borderId="0" fillId="9" fontId="4" numFmtId="0" xfId="0" applyAlignment="1" applyFont="1">
      <alignment horizontal="center" vertical="center"/>
    </xf>
    <xf borderId="0" fillId="9" fontId="4" numFmtId="0" xfId="0" applyAlignment="1" applyFont="1">
      <alignment horizontal="center" vertical="center"/>
    </xf>
    <xf borderId="0" fillId="9" fontId="4" numFmtId="0" xfId="0" applyFont="1"/>
    <xf borderId="0" fillId="0" fontId="32" numFmtId="0" xfId="0" applyFont="1"/>
    <xf borderId="0" fillId="7" fontId="28" numFmtId="0" xfId="0" applyAlignment="1" applyFont="1">
      <alignment horizontal="center" vertical="center"/>
    </xf>
    <xf borderId="0" fillId="0" fontId="4" numFmtId="0" xfId="0" applyAlignment="1" applyFont="1">
      <alignment/>
    </xf>
    <xf borderId="1" fillId="8" fontId="14" numFmtId="0" xfId="0" applyAlignment="1" applyBorder="1" applyFont="1">
      <alignment horizontal="center" vertical="center"/>
    </xf>
    <xf borderId="1" fillId="8" fontId="1" numFmtId="0" xfId="0" applyAlignment="1" applyBorder="1" applyFont="1">
      <alignment horizontal="center" vertical="center"/>
    </xf>
    <xf borderId="0" fillId="9" fontId="4" numFmtId="0" xfId="0" applyAlignment="1" applyFont="1">
      <alignment horizontal="center"/>
    </xf>
    <xf borderId="0" fillId="0" fontId="4" numFmtId="0" xfId="0" applyAlignment="1" applyFont="1">
      <alignment horizontal="center"/>
    </xf>
    <xf borderId="0" fillId="9" fontId="4" numFmtId="0" xfId="0" applyAlignment="1" applyFont="1">
      <alignment/>
    </xf>
    <xf borderId="0" fillId="9" fontId="19" numFmtId="0" xfId="0" applyAlignment="1" applyFont="1">
      <alignment horizontal="center" vertical="center"/>
    </xf>
    <xf borderId="0" fillId="0" fontId="32" numFmtId="0" xfId="0" applyAlignment="1" applyFont="1">
      <alignment/>
    </xf>
    <xf borderId="0" fillId="0" fontId="4" numFmtId="0" xfId="0" applyAlignment="1" applyFont="1">
      <alignment/>
    </xf>
    <xf borderId="0" fillId="9" fontId="4" numFmtId="0" xfId="0" applyFont="1"/>
    <xf borderId="0" fillId="2" fontId="47" numFmtId="0" xfId="0" applyAlignment="1" applyFont="1">
      <alignment horizontal="center" vertical="center"/>
    </xf>
    <xf borderId="0" fillId="4" fontId="9" numFmtId="0" xfId="0" applyAlignment="1" applyFont="1">
      <alignment horizontal="left" vertical="top" wrapText="1"/>
    </xf>
    <xf borderId="0" fillId="0" fontId="4" numFmtId="0" xfId="0" applyAlignment="1" applyFont="1">
      <alignment horizontal="center" vertical="center"/>
    </xf>
    <xf borderId="0" fillId="3" fontId="44" numFmtId="0" xfId="0" applyAlignment="1" applyFont="1">
      <alignment horizontal="center" vertical="center"/>
    </xf>
    <xf borderId="0" fillId="5" fontId="9" numFmtId="0" xfId="0" applyAlignment="1" applyFont="1">
      <alignment horizontal="left" vertical="top" wrapText="1"/>
    </xf>
    <xf borderId="0" fillId="4" fontId="30" numFmtId="0" xfId="0" applyAlignment="1" applyFont="1">
      <alignment horizontal="left" vertical="center"/>
    </xf>
    <xf borderId="0" fillId="3" fontId="28" numFmtId="0" xfId="0" applyAlignment="1" applyFont="1">
      <alignment horizontal="center" vertical="center"/>
    </xf>
    <xf borderId="0" fillId="3" fontId="3" numFmtId="0" xfId="0" applyAlignment="1" applyFont="1">
      <alignment horizontal="center" vertical="center"/>
    </xf>
    <xf borderId="9" fillId="8" fontId="44" numFmtId="0" xfId="0" applyAlignment="1" applyBorder="1" applyFont="1">
      <alignment horizontal="center" vertical="center"/>
    </xf>
    <xf borderId="9" fillId="3" fontId="44" numFmtId="0" xfId="0" applyAlignment="1" applyBorder="1" applyFont="1">
      <alignment horizontal="center" vertical="center"/>
    </xf>
    <xf borderId="0" fillId="3" fontId="38" numFmtId="0" xfId="0" applyAlignment="1" applyFont="1">
      <alignment horizontal="left" vertical="center"/>
    </xf>
    <xf borderId="0" fillId="6" fontId="1" numFmtId="0" xfId="0" applyFont="1"/>
    <xf borderId="0" fillId="12" fontId="30" numFmtId="0" xfId="0" applyAlignment="1" applyFill="1" applyFont="1">
      <alignment horizontal="center" vertical="center"/>
    </xf>
    <xf borderId="0" fillId="12" fontId="3" numFmtId="0" xfId="0" applyAlignment="1" applyFont="1">
      <alignment horizontal="center" vertical="center"/>
    </xf>
    <xf borderId="0" fillId="12" fontId="1" numFmtId="0" xfId="0" applyAlignment="1" applyFont="1">
      <alignment horizontal="center" vertical="center"/>
    </xf>
    <xf borderId="0" fillId="2" fontId="2" numFmtId="0" xfId="0" applyAlignment="1" applyFont="1">
      <alignment horizontal="center" vertical="center"/>
    </xf>
    <xf borderId="0" fillId="2" fontId="48" numFmtId="0" xfId="0" applyAlignment="1" applyFont="1">
      <alignment horizontal="center" vertical="center"/>
    </xf>
    <xf borderId="0" fillId="2" fontId="3" numFmtId="0" xfId="0" applyAlignment="1" applyFont="1">
      <alignment horizontal="center" vertical="center"/>
    </xf>
    <xf borderId="0" fillId="2" fontId="3" numFmtId="0" xfId="0" applyAlignment="1" applyFont="1">
      <alignment horizontal="center" vertical="center"/>
    </xf>
    <xf borderId="0" fillId="3" fontId="38" numFmtId="0" xfId="0" applyAlignment="1" applyFont="1">
      <alignment horizontal="center" vertical="center"/>
    </xf>
    <xf borderId="0" fillId="12" fontId="1" numFmtId="0" xfId="0" applyAlignment="1" applyFont="1">
      <alignment horizontal="center" vertical="center"/>
    </xf>
    <xf borderId="0" fillId="13" fontId="30" numFmtId="0" xfId="0" applyAlignment="1" applyFill="1" applyFont="1">
      <alignment horizontal="center" vertical="center"/>
    </xf>
    <xf borderId="0" fillId="0" fontId="1" numFmtId="0" xfId="0" applyAlignment="1" applyFont="1">
      <alignment horizontal="center" vertical="center"/>
    </xf>
    <xf borderId="0" fillId="0" fontId="1" numFmtId="0" xfId="0" applyAlignment="1" applyFont="1">
      <alignment horizontal="center" vertical="center"/>
    </xf>
    <xf borderId="0" fillId="9" fontId="35" numFmtId="0" xfId="0" applyAlignment="1" applyFont="1">
      <alignment horizontal="center" vertical="center"/>
    </xf>
    <xf borderId="0" fillId="0" fontId="1" numFmtId="0" xfId="0" applyAlignment="1" applyFont="1">
      <alignment horizontal="center" vertical="center"/>
    </xf>
    <xf borderId="0" fillId="0" fontId="12" numFmtId="0" xfId="0" applyAlignment="1" applyFont="1">
      <alignment horizontal="center" vertical="center"/>
    </xf>
    <xf borderId="0" fillId="0" fontId="30" numFmtId="0" xfId="0" applyAlignment="1" applyFont="1">
      <alignment horizontal="center" vertical="center"/>
    </xf>
    <xf borderId="0" fillId="0" fontId="1" numFmtId="0" xfId="0" applyAlignment="1" applyFont="1">
      <alignment horizontal="center" vertical="center"/>
    </xf>
    <xf borderId="0" fillId="7" fontId="30" numFmtId="0" xfId="0" applyAlignment="1" applyFont="1">
      <alignment horizontal="center" vertical="center"/>
    </xf>
    <xf borderId="0" fillId="12" fontId="1" numFmtId="0" xfId="0" applyAlignment="1" applyFont="1">
      <alignment horizontal="center" vertical="center"/>
    </xf>
    <xf borderId="0" fillId="9" fontId="35" numFmtId="0" xfId="0" applyAlignment="1" applyFont="1">
      <alignment horizontal="center" vertical="center"/>
    </xf>
    <xf borderId="0" fillId="8" fontId="7" numFmtId="0" xfId="0" applyAlignment="1" applyFont="1">
      <alignment horizontal="center" vertical="center"/>
    </xf>
    <xf borderId="0" fillId="4" fontId="7" numFmtId="0" xfId="0" applyAlignment="1" applyFont="1">
      <alignment horizontal="center" vertical="center"/>
    </xf>
    <xf borderId="0" fillId="9" fontId="35" numFmtId="0" xfId="0" applyAlignment="1" applyFont="1">
      <alignment horizontal="center" vertical="center"/>
    </xf>
    <xf borderId="9" fillId="3" fontId="16" numFmtId="0" xfId="0" applyAlignment="1" applyBorder="1" applyFont="1">
      <alignment horizontal="center" vertical="center"/>
    </xf>
    <xf borderId="0" fillId="9" fontId="20" numFmtId="0" xfId="0" applyAlignment="1" applyFont="1">
      <alignment horizontal="center" vertical="center"/>
    </xf>
    <xf borderId="0" fillId="0" fontId="30" numFmtId="0" xfId="0" applyAlignment="1" applyFont="1">
      <alignment horizontal="center" vertical="center"/>
    </xf>
    <xf borderId="0" fillId="0" fontId="12" numFmtId="0" xfId="0" applyAlignment="1" applyFont="1">
      <alignment horizontal="center" vertical="center"/>
    </xf>
    <xf borderId="0" fillId="0" fontId="30" numFmtId="0" xfId="0" applyAlignment="1" applyFont="1">
      <alignment horizontal="center" vertical="center"/>
    </xf>
    <xf borderId="0" fillId="3" fontId="3" numFmtId="0" xfId="0" applyAlignment="1" applyFont="1">
      <alignment horizontal="center" vertical="center"/>
    </xf>
    <xf borderId="0" fillId="0" fontId="12" numFmtId="0" xfId="0" applyAlignment="1" applyFont="1">
      <alignment horizontal="center" vertical="center"/>
    </xf>
    <xf borderId="0" fillId="7" fontId="49" numFmtId="0" xfId="0" applyAlignment="1" applyFont="1">
      <alignment horizontal="center" vertical="center"/>
    </xf>
    <xf borderId="0" fillId="0" fontId="30" numFmtId="0" xfId="0" applyAlignment="1" applyFont="1">
      <alignment horizontal="center" vertical="center"/>
    </xf>
    <xf borderId="0" fillId="7" fontId="28" numFmtId="0" xfId="0" applyAlignment="1" applyFont="1">
      <alignment horizontal="center" vertical="center" wrapText="1"/>
    </xf>
    <xf borderId="0" fillId="8" fontId="1" numFmtId="0" xfId="0" applyAlignment="1" applyFont="1">
      <alignment horizontal="center" vertical="center"/>
    </xf>
    <xf borderId="0" fillId="3" fontId="30" numFmtId="0" xfId="0" applyAlignment="1" applyFont="1">
      <alignment horizontal="center" vertical="center"/>
    </xf>
    <xf borderId="0" fillId="10" fontId="28" numFmtId="0" xfId="0" applyAlignment="1" applyFont="1">
      <alignment horizontal="center" vertical="center" wrapText="1"/>
    </xf>
    <xf borderId="0" fillId="8" fontId="7" numFmtId="0" xfId="0" applyAlignment="1" applyFont="1">
      <alignment horizontal="center" vertical="center"/>
    </xf>
    <xf borderId="0" fillId="7" fontId="50" numFmtId="0" xfId="0" applyAlignment="1" applyFont="1">
      <alignment/>
    </xf>
    <xf borderId="0" fillId="3" fontId="6" numFmtId="0" xfId="0" applyAlignment="1" applyFont="1">
      <alignment horizontal="left" vertical="center"/>
    </xf>
    <xf borderId="4" fillId="4" fontId="51" numFmtId="0" xfId="0" applyAlignment="1" applyBorder="1" applyFont="1">
      <alignment horizontal="center" vertical="center" wrapText="1"/>
    </xf>
    <xf borderId="0" fillId="5" fontId="1" numFmtId="0" xfId="0" applyFont="1"/>
    <xf borderId="19" fillId="4" fontId="51" numFmtId="0" xfId="0" applyAlignment="1" applyBorder="1" applyFont="1">
      <alignment horizontal="center" vertical="center" wrapText="1"/>
    </xf>
    <xf borderId="0" fillId="7" fontId="28" numFmtId="0" xfId="0" applyAlignment="1" applyFont="1">
      <alignment horizontal="center" vertical="center"/>
    </xf>
    <xf borderId="0" fillId="10" fontId="52" numFmtId="0" xfId="0" applyAlignment="1" applyFont="1">
      <alignment horizontal="center" vertical="center"/>
    </xf>
    <xf borderId="0" fillId="7" fontId="30" numFmtId="0" xfId="0" applyAlignment="1" applyFont="1">
      <alignment horizontal="center" vertical="center"/>
    </xf>
    <xf borderId="0" fillId="7" fontId="13" numFmtId="0" xfId="0" applyAlignment="1" applyFont="1">
      <alignment horizontal="center" vertical="center"/>
    </xf>
    <xf borderId="0" fillId="8" fontId="41" numFmtId="0" xfId="0" applyAlignment="1" applyFont="1">
      <alignment horizontal="center" vertical="center"/>
    </xf>
    <xf borderId="20" fillId="0" fontId="4" numFmtId="0" xfId="0" applyBorder="1" applyFont="1"/>
    <xf borderId="20" fillId="8" fontId="53" numFmtId="0" xfId="0" applyAlignment="1" applyBorder="1" applyFont="1">
      <alignment horizontal="center" vertical="center"/>
    </xf>
    <xf borderId="0" fillId="5" fontId="52" numFmtId="0" xfId="0" applyAlignment="1" applyFont="1">
      <alignment horizontal="center" vertical="center"/>
    </xf>
    <xf borderId="21" fillId="4" fontId="1" numFmtId="0" xfId="0" applyAlignment="1" applyBorder="1" applyFont="1">
      <alignment horizontal="center" vertical="center"/>
    </xf>
    <xf borderId="19" fillId="0" fontId="4" numFmtId="0" xfId="0" applyBorder="1" applyFont="1"/>
    <xf borderId="0" fillId="3" fontId="11" numFmtId="0" xfId="0" applyAlignment="1" applyFont="1">
      <alignment horizontal="center" vertical="center"/>
    </xf>
    <xf borderId="21" fillId="4" fontId="1" numFmtId="0" xfId="0" applyAlignment="1" applyBorder="1" applyFont="1">
      <alignment horizontal="center" vertical="center"/>
    </xf>
    <xf borderId="22" fillId="3" fontId="41" numFmtId="0" xfId="0" applyAlignment="1" applyBorder="1" applyFont="1">
      <alignment horizontal="center" vertical="center"/>
    </xf>
    <xf borderId="22" fillId="0" fontId="4" numFmtId="0" xfId="0" applyBorder="1" applyFont="1"/>
    <xf borderId="23" fillId="0" fontId="4" numFmtId="0" xfId="0" applyBorder="1" applyFont="1"/>
    <xf borderId="23" fillId="3" fontId="41" numFmtId="0" xfId="0" applyAlignment="1" applyBorder="1" applyFont="1">
      <alignment horizontal="center" vertical="center"/>
    </xf>
    <xf borderId="19" fillId="4" fontId="52" numFmtId="0" xfId="0" applyAlignment="1" applyBorder="1" applyFont="1">
      <alignment horizontal="center" vertical="center"/>
    </xf>
    <xf borderId="0" fillId="7" fontId="54" numFmtId="0" xfId="0" applyAlignment="1" applyFont="1">
      <alignment horizontal="center" vertical="center"/>
    </xf>
    <xf borderId="22" fillId="8" fontId="41" numFmtId="0" xfId="0" applyAlignment="1" applyBorder="1" applyFont="1">
      <alignment horizontal="center" vertical="center"/>
    </xf>
    <xf borderId="23" fillId="8" fontId="41" numFmtId="0" xfId="0" applyAlignment="1" applyBorder="1" applyFont="1">
      <alignment horizontal="center" vertical="center"/>
    </xf>
    <xf borderId="19" fillId="5" fontId="52" numFmtId="0" xfId="0" applyAlignment="1" applyBorder="1" applyFont="1">
      <alignment horizontal="center" vertical="center"/>
    </xf>
    <xf borderId="0" fillId="2" fontId="1" numFmtId="0" xfId="0" applyAlignment="1" applyFont="1">
      <alignment horizontal="center" vertical="center"/>
    </xf>
    <xf borderId="0" fillId="7" fontId="2" numFmtId="0" xfId="0" applyAlignment="1" applyFont="1">
      <alignment horizontal="center" vertical="center"/>
    </xf>
    <xf borderId="0" fillId="4" fontId="1" numFmtId="0" xfId="0" applyAlignment="1" applyFont="1">
      <alignment horizontal="left" vertical="center"/>
    </xf>
    <xf borderId="0" fillId="4" fontId="1" numFmtId="0" xfId="0" applyAlignment="1" applyFont="1">
      <alignment horizontal="center" vertical="center"/>
    </xf>
    <xf borderId="0" fillId="4" fontId="1" numFmtId="0" xfId="0" applyAlignment="1" applyFont="1">
      <alignment horizontal="left" vertical="center"/>
    </xf>
    <xf borderId="0" fillId="4" fontId="1" numFmtId="0" xfId="0" applyAlignment="1" applyFont="1">
      <alignment horizontal="left" vertical="top" wrapText="1"/>
    </xf>
    <xf borderId="19" fillId="4" fontId="51" numFmtId="0" xfId="0" applyAlignment="1" applyBorder="1" applyFont="1">
      <alignment horizontal="center" vertical="center"/>
    </xf>
    <xf borderId="24" fillId="3" fontId="11" numFmtId="0" xfId="0" applyAlignment="1" applyBorder="1" applyFont="1">
      <alignment horizontal="center" vertical="center"/>
    </xf>
    <xf borderId="19" fillId="4" fontId="51" numFmtId="0" xfId="0" applyAlignment="1" applyBorder="1" applyFont="1">
      <alignment horizontal="center" vertical="center"/>
    </xf>
    <xf borderId="10" fillId="3" fontId="11" numFmtId="0" xfId="0" applyAlignment="1" applyBorder="1" applyFont="1">
      <alignment horizontal="center" vertical="center"/>
    </xf>
    <xf borderId="0" fillId="3" fontId="11" numFmtId="0" xfId="0" applyAlignment="1" applyFont="1">
      <alignment horizontal="center" vertical="center"/>
    </xf>
    <xf borderId="3" fillId="3" fontId="11" numFmtId="0" xfId="0" applyAlignment="1" applyBorder="1" applyFont="1">
      <alignment horizontal="center" vertical="center"/>
    </xf>
    <xf borderId="0" fillId="3" fontId="11" numFmtId="0" xfId="0" applyAlignment="1" applyFont="1">
      <alignment/>
    </xf>
    <xf borderId="25" fillId="4" fontId="51" numFmtId="0" xfId="0" applyAlignment="1" applyBorder="1" applyFont="1">
      <alignment horizontal="center" vertical="center" wrapText="1"/>
    </xf>
    <xf borderId="9" fillId="8" fontId="41" numFmtId="0" xfId="0" applyAlignment="1" applyBorder="1" applyFont="1">
      <alignment horizontal="center" vertical="center"/>
    </xf>
    <xf borderId="26" fillId="0" fontId="4" numFmtId="0" xfId="0" applyBorder="1" applyFont="1"/>
    <xf borderId="19" fillId="5" fontId="1" numFmtId="0" xfId="0" applyAlignment="1" applyBorder="1" applyFont="1">
      <alignment/>
    </xf>
    <xf borderId="4" fillId="4" fontId="1" numFmtId="0" xfId="0" applyAlignment="1" applyBorder="1" applyFont="1">
      <alignment/>
    </xf>
    <xf borderId="19" fillId="5" fontId="1" numFmtId="0" xfId="0" applyAlignment="1" applyBorder="1" applyFont="1">
      <alignment/>
    </xf>
    <xf borderId="0" fillId="10" fontId="1" numFmtId="0" xfId="0" applyAlignment="1" applyFont="1">
      <alignment horizontal="center" vertical="center"/>
    </xf>
    <xf borderId="10" fillId="3" fontId="11" numFmtId="0" xfId="0" applyAlignment="1" applyBorder="1" applyFont="1">
      <alignment horizontal="center" vertical="center"/>
    </xf>
    <xf borderId="27" fillId="3" fontId="1" numFmtId="0" xfId="0" applyAlignment="1" applyBorder="1" applyFont="1">
      <alignment horizontal="center" vertical="center"/>
    </xf>
    <xf borderId="27" fillId="0" fontId="4" numFmtId="0" xfId="0" applyBorder="1" applyFont="1"/>
    <xf borderId="4" fillId="4" fontId="1" numFmtId="0" xfId="0" applyAlignment="1" applyBorder="1" applyFont="1">
      <alignment/>
    </xf>
    <xf borderId="0" fillId="8" fontId="12" numFmtId="0" xfId="0" applyAlignment="1" applyFont="1">
      <alignment horizontal="center" vertical="center" wrapText="1"/>
    </xf>
    <xf borderId="4" fillId="4" fontId="1" numFmtId="0" xfId="0" applyAlignment="1" applyBorder="1" applyFont="1">
      <alignment/>
    </xf>
    <xf borderId="0" fillId="3" fontId="12" numFmtId="0" xfId="0" applyAlignment="1" applyFont="1">
      <alignment horizontal="center" vertical="center" wrapText="1"/>
    </xf>
    <xf borderId="0" fillId="8" fontId="12" numFmtId="0" xfId="0" applyAlignment="1" applyFont="1">
      <alignment horizontal="center" vertical="center"/>
    </xf>
    <xf borderId="28" fillId="4" fontId="1" numFmtId="0" xfId="0" applyAlignment="1" applyBorder="1" applyFont="1">
      <alignment horizontal="center" vertical="center"/>
    </xf>
    <xf borderId="28" fillId="0" fontId="4" numFmtId="0" xfId="0" applyBorder="1" applyFont="1"/>
    <xf borderId="0" fillId="7" fontId="1" numFmtId="0" xfId="0" applyAlignment="1" applyFont="1">
      <alignment horizontal="center" vertical="center" wrapText="1"/>
    </xf>
    <xf borderId="0" fillId="7" fontId="55" numFmtId="0" xfId="0" applyAlignment="1" applyFont="1">
      <alignment horizontal="center" vertical="center"/>
    </xf>
    <xf borderId="0" fillId="3" fontId="12" numFmtId="0" xfId="0" applyAlignment="1" applyFont="1">
      <alignment horizontal="center" vertical="center"/>
    </xf>
    <xf borderId="0" fillId="8" fontId="1" numFmtId="0" xfId="0" applyAlignment="1" applyFont="1">
      <alignment horizontal="center" vertical="center" wrapText="1"/>
    </xf>
    <xf borderId="0" fillId="3" fontId="17" numFmtId="0" xfId="0" applyAlignment="1" applyFont="1">
      <alignment horizontal="center" vertical="center" wrapText="1"/>
    </xf>
    <xf borderId="0" fillId="3" fontId="56" numFmtId="0" xfId="0" applyAlignment="1" applyFont="1">
      <alignment horizontal="center" vertical="center"/>
    </xf>
    <xf borderId="0" fillId="3" fontId="17" numFmtId="0" xfId="0" applyAlignment="1" applyFont="1">
      <alignment horizontal="center" vertical="center"/>
    </xf>
    <xf borderId="25" fillId="5" fontId="52" numFmtId="0" xfId="0" applyAlignment="1" applyBorder="1" applyFont="1">
      <alignment horizontal="center" vertical="center"/>
    </xf>
    <xf borderId="0" fillId="3" fontId="17" numFmtId="0" xfId="0" applyAlignment="1" applyFont="1">
      <alignment horizontal="center" vertical="center"/>
    </xf>
    <xf borderId="0" fillId="3" fontId="1" numFmtId="0" xfId="0" applyAlignment="1" applyFont="1">
      <alignment horizontal="center"/>
    </xf>
    <xf borderId="0" fillId="7" fontId="1" numFmtId="0" xfId="0" applyAlignment="1" applyFont="1">
      <alignment horizontal="center" vertical="center"/>
    </xf>
    <xf borderId="0" fillId="8" fontId="1" numFmtId="0" xfId="0" applyAlignment="1" applyFont="1">
      <alignment horizontal="center" vertical="center"/>
    </xf>
    <xf borderId="0" fillId="4" fontId="12" numFmtId="0" xfId="0" applyAlignment="1" applyFont="1">
      <alignment horizontal="center" vertical="center"/>
    </xf>
    <xf borderId="0" fillId="7" fontId="17" numFmtId="0" xfId="0" applyAlignment="1" applyFont="1">
      <alignment horizontal="center" vertical="center" wrapText="1"/>
    </xf>
    <xf borderId="0" fillId="7" fontId="1" numFmtId="0" xfId="0" applyAlignment="1" applyFont="1">
      <alignment horizontal="center" vertical="center"/>
    </xf>
    <xf borderId="0" fillId="3" fontId="30" numFmtId="0" xfId="0" applyAlignment="1" applyFont="1">
      <alignment horizontal="center" vertical="center"/>
    </xf>
    <xf borderId="0" fillId="4" fontId="52" numFmtId="0" xfId="0" applyAlignment="1" applyFont="1">
      <alignment horizontal="center" vertical="center"/>
    </xf>
    <xf borderId="0" fillId="7" fontId="52" numFmtId="0" xfId="0" applyAlignment="1" applyFont="1">
      <alignment horizontal="center" vertical="center"/>
    </xf>
    <xf borderId="0" fillId="4" fontId="52" numFmtId="0" xfId="0" applyAlignment="1" applyFont="1">
      <alignment horizontal="center" vertical="center"/>
    </xf>
    <xf borderId="0" fillId="7" fontId="52" numFmtId="0" xfId="0" applyAlignment="1" applyFont="1">
      <alignment horizontal="center" vertical="center"/>
    </xf>
    <xf borderId="0" fillId="7" fontId="17" numFmtId="0" xfId="0" applyAlignment="1" applyFont="1">
      <alignment horizontal="center" vertical="center" wrapText="1"/>
    </xf>
    <xf borderId="0" fillId="3" fontId="52" numFmtId="0" xfId="0" applyAlignment="1" applyFont="1">
      <alignment horizontal="center" vertical="center"/>
    </xf>
    <xf borderId="0" fillId="7" fontId="55" numFmtId="0" xfId="0" applyAlignment="1" applyFont="1">
      <alignment horizontal="center" vertical="center" wrapText="1"/>
    </xf>
    <xf borderId="0" fillId="3" fontId="52" numFmtId="0" xfId="0" applyAlignment="1" applyFont="1">
      <alignment horizontal="center" vertical="center"/>
    </xf>
    <xf borderId="0" fillId="3" fontId="17" numFmtId="0" xfId="0" applyAlignment="1" applyFont="1">
      <alignment horizontal="center" vertical="center"/>
    </xf>
    <xf borderId="0" fillId="3" fontId="46" numFmtId="0" xfId="0" applyAlignment="1" applyFont="1">
      <alignment horizontal="center" vertical="center"/>
    </xf>
    <xf borderId="3" fillId="3" fontId="11" numFmtId="0" xfId="0" applyAlignment="1" applyBorder="1" applyFont="1">
      <alignment horizontal="center" vertical="center"/>
    </xf>
    <xf borderId="0" fillId="4" fontId="17" numFmtId="0" xfId="0" applyAlignment="1" applyFont="1">
      <alignment horizontal="center" vertical="center"/>
    </xf>
    <xf borderId="0" fillId="4" fontId="17" numFmtId="0" xfId="0" applyAlignment="1" applyFont="1">
      <alignment horizontal="center" vertical="center" wrapText="1"/>
    </xf>
    <xf borderId="0" fillId="7" fontId="17" numFmtId="0" xfId="0" applyAlignment="1" applyFont="1">
      <alignment horizontal="center" vertical="center"/>
    </xf>
    <xf borderId="0" fillId="4" fontId="17" numFmtId="0" xfId="0" applyAlignment="1" applyFont="1">
      <alignment horizontal="center" vertical="center"/>
    </xf>
    <xf borderId="0" fillId="3" fontId="11" numFmtId="0" xfId="0" applyAlignment="1" applyFont="1">
      <alignment horizontal="left" vertical="center"/>
    </xf>
    <xf borderId="0" fillId="3" fontId="11" numFmtId="0" xfId="0" applyAlignment="1" applyFont="1">
      <alignment horizontal="left" vertical="center"/>
    </xf>
    <xf borderId="0" fillId="3" fontId="11" numFmtId="0" xfId="0" applyAlignment="1" applyFont="1">
      <alignment horizontal="left" vertical="center"/>
    </xf>
    <xf borderId="29" fillId="3" fontId="11" numFmtId="0" xfId="0" applyAlignment="1" applyBorder="1" applyFont="1">
      <alignment horizontal="center" vertical="center"/>
    </xf>
    <xf borderId="29" fillId="3" fontId="11" numFmtId="0" xfId="0" applyAlignment="1" applyBorder="1" applyFont="1">
      <alignment horizontal="center" vertical="center"/>
    </xf>
    <xf borderId="0" fillId="7" fontId="4" numFmtId="0" xfId="0" applyFont="1"/>
    <xf borderId="0" fillId="6" fontId="4" numFmtId="0" xfId="0" applyFont="1"/>
    <xf borderId="0" fillId="3" fontId="11" numFmtId="0" xfId="0" applyFont="1"/>
    <xf borderId="0" fillId="3" fontId="11" numFmtId="0" xfId="0" applyAlignment="1" applyFont="1">
      <alignment horizontal="left" vertical="center"/>
    </xf>
    <xf borderId="0" fillId="6" fontId="1" numFmtId="0" xfId="0" applyAlignment="1" applyFont="1">
      <alignment horizontal="center" vertical="center"/>
    </xf>
    <xf borderId="0" fillId="3" fontId="57" numFmtId="0" xfId="0" applyAlignment="1" applyFont="1">
      <alignment horizontal="center" vertical="center"/>
    </xf>
    <xf borderId="0" fillId="3" fontId="11" numFmtId="0" xfId="0" applyAlignment="1" applyFont="1">
      <alignment horizontal="center" vertical="center"/>
    </xf>
    <xf borderId="0" fillId="3" fontId="11" numFmtId="0" xfId="0" applyAlignment="1" applyFont="1">
      <alignment horizontal="center" vertical="center" wrapText="1"/>
    </xf>
    <xf borderId="0" fillId="3" fontId="11" numFmtId="0" xfId="0" applyAlignment="1" applyFont="1">
      <alignment horizontal="center" vertical="center" wrapText="1"/>
    </xf>
    <xf borderId="0" fillId="3" fontId="34" numFmtId="0" xfId="0" applyAlignment="1" applyFont="1">
      <alignment horizontal="center" vertical="center"/>
    </xf>
    <xf borderId="0" fillId="3" fontId="11" numFmtId="0" xfId="0" applyAlignment="1" applyFont="1">
      <alignment horizontal="left"/>
    </xf>
    <xf borderId="0" fillId="3" fontId="34" numFmtId="0" xfId="0" applyAlignment="1" applyFont="1">
      <alignment horizontal="center" vertical="center"/>
    </xf>
    <xf borderId="29" fillId="3" fontId="11" numFmtId="0" xfId="0" applyBorder="1" applyFont="1"/>
    <xf borderId="0" fillId="3" fontId="11" numFmtId="0" xfId="0" applyAlignment="1" applyFont="1">
      <alignment horizontal="left"/>
    </xf>
    <xf borderId="0" fillId="3" fontId="58" numFmtId="0" xfId="0" applyAlignment="1" applyFont="1">
      <alignment/>
    </xf>
    <xf borderId="0" fillId="3" fontId="11" numFmtId="0" xfId="0" applyAlignment="1" applyFont="1">
      <alignment horizontal="center" vertical="center" wrapText="1"/>
    </xf>
    <xf borderId="0" fillId="3" fontId="11" numFmtId="0" xfId="0" applyAlignment="1" applyFont="1">
      <alignment horizontal="left"/>
    </xf>
    <xf borderId="0" fillId="3" fontId="58" numFmtId="0" xfId="0" applyAlignment="1" applyFont="1">
      <alignment/>
    </xf>
    <xf borderId="0" fillId="3" fontId="38" numFmtId="0" xfId="0" applyAlignment="1" applyFont="1">
      <alignment horizontal="center" vertical="center"/>
    </xf>
    <xf borderId="0" fillId="3" fontId="11" numFmtId="0" xfId="0" applyAlignment="1" applyFont="1">
      <alignment horizontal="center" vertical="center"/>
    </xf>
    <xf borderId="0" fillId="3" fontId="11" numFmtId="0" xfId="0" applyAlignment="1" applyFont="1">
      <alignment horizontal="center" vertical="center"/>
    </xf>
    <xf borderId="0" fillId="3" fontId="57" numFmtId="0" xfId="0" applyAlignment="1" applyFont="1">
      <alignment horizontal="center" vertical="center"/>
    </xf>
    <xf borderId="0" fillId="3" fontId="11" numFmtId="0" xfId="0" applyAlignment="1" applyFont="1">
      <alignment horizontal="center" vertical="center"/>
    </xf>
    <xf borderId="0" fillId="3" fontId="34" numFmtId="0" xfId="0" applyAlignment="1" applyFont="1">
      <alignment horizontal="center"/>
    </xf>
    <xf borderId="0" fillId="3" fontId="34" numFmtId="0" xfId="0" applyAlignment="1" applyFont="1">
      <alignment horizontal="center"/>
    </xf>
    <xf borderId="0" fillId="3" fontId="34" numFmtId="0" xfId="0" applyAlignment="1" applyFont="1">
      <alignment horizontal="center" vertical="center"/>
    </xf>
    <xf borderId="0" fillId="3" fontId="34" numFmtId="0" xfId="0" applyAlignment="1" applyFont="1">
      <alignment horizontal="center"/>
    </xf>
    <xf borderId="0" fillId="3" fontId="11" numFmtId="0" xfId="0" applyFont="1"/>
    <xf borderId="0" fillId="3" fontId="11" numFmtId="0" xfId="0" applyAlignment="1" applyFont="1">
      <alignment horizontal="center" vertical="center"/>
    </xf>
    <xf borderId="0" fillId="3" fontId="34" numFmtId="0" xfId="0" applyAlignment="1" applyFont="1">
      <alignment horizontal="center" vertical="center"/>
    </xf>
    <xf borderId="0" fillId="3" fontId="59" numFmtId="0" xfId="0" applyAlignment="1" applyFont="1">
      <alignment horizontal="center" vertical="center"/>
    </xf>
    <xf borderId="0" fillId="3" fontId="11" numFmtId="0" xfId="0" applyAlignment="1" applyFont="1">
      <alignment/>
    </xf>
    <xf borderId="0" fillId="6" fontId="35" numFmtId="0" xfId="0" applyFont="1"/>
    <xf borderId="0" fillId="3" fontId="11" numFmtId="0" xfId="0" applyAlignment="1" applyFont="1">
      <alignment horizontal="center" vertical="center"/>
    </xf>
    <xf borderId="0" fillId="6" fontId="35" numFmtId="0" xfId="0" applyAlignment="1" applyFont="1">
      <alignment horizontal="center"/>
    </xf>
    <xf borderId="0" fillId="6" fontId="1" numFmtId="0" xfId="0" applyAlignment="1" applyFont="1">
      <alignment horizontal="center"/>
    </xf>
    <xf borderId="0" fillId="3" fontId="38" numFmtId="0" xfId="0" applyAlignment="1" applyFont="1">
      <alignment horizontal="center"/>
    </xf>
    <xf borderId="0" fillId="3" fontId="34" numFmtId="0" xfId="0" applyAlignment="1" applyFont="1">
      <alignment horizontal="center" vertical="center"/>
    </xf>
    <xf borderId="0" fillId="6" fontId="4" numFmtId="0" xfId="0" applyAlignment="1" applyFont="1">
      <alignment horizontal="center"/>
    </xf>
    <xf borderId="0" fillId="3" fontId="60" numFmtId="0" xfId="0" applyAlignment="1" applyFont="1">
      <alignment horizontal="center" vertical="center"/>
    </xf>
    <xf borderId="0" fillId="3" fontId="34" numFmtId="0" xfId="0" applyAlignment="1" applyFont="1">
      <alignment horizontal="center" vertical="center"/>
    </xf>
    <xf borderId="0" fillId="3" fontId="34" numFmtId="0" xfId="0" applyAlignment="1" applyFont="1">
      <alignment horizontal="center"/>
    </xf>
    <xf borderId="0" fillId="3" fontId="34" numFmtId="0" xfId="0" applyAlignment="1" applyFont="1">
      <alignment/>
    </xf>
    <xf borderId="0" fillId="3" fontId="11" numFmtId="0" xfId="0" applyAlignment="1" applyFont="1">
      <alignment horizontal="center"/>
    </xf>
    <xf borderId="0" fillId="3" fontId="34" numFmtId="0" xfId="0" applyAlignment="1" applyFont="1">
      <alignment horizontal="center"/>
    </xf>
    <xf borderId="0" fillId="3" fontId="34" numFmtId="0" xfId="0" applyAlignment="1" applyFont="1">
      <alignment horizontal="center"/>
    </xf>
    <xf borderId="0" fillId="3" fontId="11" numFmtId="0" xfId="0" applyAlignment="1" applyFont="1">
      <alignment horizontal="right"/>
    </xf>
    <xf borderId="0" fillId="3" fontId="11" numFmtId="0" xfId="0" applyAlignment="1" applyFont="1">
      <alignment horizontal="right"/>
    </xf>
    <xf borderId="0" fillId="3" fontId="60" numFmtId="0" xfId="0" applyAlignment="1" applyFont="1">
      <alignment horizontal="center" vertical="center"/>
    </xf>
    <xf borderId="0" fillId="3" fontId="34" numFmtId="0" xfId="0" applyAlignment="1" applyFont="1">
      <alignment/>
    </xf>
    <xf borderId="0" fillId="3" fontId="34" numFmtId="0" xfId="0" applyFont="1"/>
    <xf borderId="0" fillId="3" fontId="57" numFmtId="0" xfId="0" applyAlignment="1" applyFont="1">
      <alignment horizontal="left" vertical="top"/>
    </xf>
    <xf borderId="0" fillId="3" fontId="34" numFmtId="0" xfId="0" applyAlignment="1" applyFont="1">
      <alignment/>
    </xf>
    <xf borderId="0" fillId="3" fontId="34" numFmtId="0" xfId="0" applyAlignment="1" applyFont="1">
      <alignment/>
    </xf>
    <xf borderId="0" fillId="3" fontId="61" numFmtId="0" xfId="0" applyAlignment="1" applyFont="1">
      <alignment/>
    </xf>
    <xf borderId="0" fillId="3" fontId="38" numFmtId="0" xfId="0" applyAlignment="1" applyFont="1">
      <alignment horizontal="center" vertical="center"/>
    </xf>
    <xf borderId="0" fillId="3" fontId="38" numFmtId="0" xfId="0" applyAlignment="1" applyFont="1">
      <alignment horizontal="center" vertical="center"/>
    </xf>
    <xf borderId="0" fillId="3" fontId="62" numFmtId="0" xfId="0" applyAlignment="1" applyFont="1">
      <alignment horizontal="left" vertical="center"/>
    </xf>
    <xf borderId="0" fillId="3" fontId="60" numFmtId="0" xfId="0" applyAlignment="1" applyFont="1">
      <alignment horizontal="center" vertical="center"/>
    </xf>
    <xf borderId="0" fillId="3" fontId="62" numFmtId="0" xfId="0" applyAlignment="1" applyFont="1">
      <alignment horizontal="center" vertical="center"/>
    </xf>
    <xf borderId="0" fillId="3" fontId="38" numFmtId="0" xfId="0" applyAlignment="1" applyFont="1">
      <alignment horizontal="center" vertical="center" wrapText="1"/>
    </xf>
    <xf borderId="0" fillId="3" fontId="38" numFmtId="0" xfId="0" applyAlignment="1" applyFont="1">
      <alignment horizontal="center" vertical="center"/>
    </xf>
    <xf borderId="0" fillId="3" fontId="38" numFmtId="0" xfId="0" applyAlignment="1" applyFont="1">
      <alignment horizontal="center" vertical="center" wrapText="1"/>
    </xf>
    <xf borderId="0" fillId="3" fontId="38" numFmtId="0" xfId="0" applyAlignment="1" applyFont="1">
      <alignment horizontal="center" vertical="center"/>
    </xf>
  </cellXfs>
  <cellStyles count="1">
    <cellStyle xfId="0" name="Normal" builtinId="0"/>
  </cellStyles>
  <dxfs count="6">
    <dxf>
      <font/>
      <fill>
        <patternFill patternType="solid">
          <fgColor rgb="FF3D85C6"/>
          <bgColor rgb="FF3D85C6"/>
        </patternFill>
      </fill>
      <alignment/>
      <border>
        <left/>
        <right/>
        <top/>
        <bottom/>
      </border>
    </dxf>
    <dxf>
      <font/>
      <fill>
        <patternFill patternType="solid">
          <fgColor rgb="FFB7E1CD"/>
          <bgColor rgb="FFB7E1CD"/>
        </patternFill>
      </fill>
      <alignment/>
      <border>
        <left/>
        <right/>
        <top/>
        <bottom/>
      </border>
    </dxf>
    <dxf>
      <font/>
      <fill>
        <patternFill patternType="solid">
          <fgColor rgb="FFCFE2F3"/>
          <bgColor rgb="FFCFE2F3"/>
        </patternFill>
      </fill>
      <alignment/>
      <border>
        <left/>
        <right/>
        <top/>
        <bottom/>
      </border>
    </dxf>
    <dxf>
      <font/>
      <fill>
        <patternFill patternType="solid">
          <fgColor rgb="FFF4C7C3"/>
          <bgColor rgb="FFF4C7C3"/>
        </patternFill>
      </fill>
      <alignment/>
      <border>
        <left/>
        <right/>
        <top/>
        <bottom/>
      </border>
    </dxf>
    <dxf>
      <font>
        <color rgb="FFC53929"/>
      </font>
      <fill>
        <patternFill patternType="none"/>
      </fill>
      <alignment/>
      <border>
        <left/>
        <right/>
        <top/>
        <bottom/>
      </border>
    </dxf>
    <dxf>
      <font>
        <color rgb="FFE69138"/>
      </font>
      <fill>
        <patternFill patternType="none"/>
      </fill>
      <alignment/>
      <border>
        <left/>
        <right/>
        <top/>
        <bottom/>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10" Type="http://schemas.openxmlformats.org/officeDocument/2006/relationships/worksheet" Target="worksheets/sheet8.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3.xml"/><Relationship Id="rId3"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drawing" Target="../drawings/drawing4.xml"/><Relationship Id="rId3"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comments" Target="../comments4.xml"/><Relationship Id="rId2" Type="http://schemas.openxmlformats.org/officeDocument/2006/relationships/drawing" Target="../drawings/drawing6.xml"/><Relationship Id="rId3"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showGridLines="0" workbookViewId="0"/>
  </sheetViews>
  <sheetFormatPr customHeight="1" defaultColWidth="14.43" defaultRowHeight="15.75"/>
  <cols>
    <col customWidth="1" min="1" max="2" width="3.14"/>
    <col customWidth="1" min="3" max="7" width="12.29"/>
    <col customWidth="1" min="8" max="9" width="3.71"/>
    <col customWidth="1" min="10" max="10" width="5.14"/>
    <col customWidth="1" min="11" max="11" width="3.71"/>
    <col customWidth="1" min="12" max="12" width="18.0"/>
    <col customWidth="1" min="13" max="13" width="11.14"/>
    <col customWidth="1" min="14" max="14" width="14.43"/>
    <col customWidth="1" min="15" max="15" width="7.29"/>
    <col customWidth="1" min="16" max="16" width="8.71"/>
    <col customWidth="1" min="17" max="18" width="14.43"/>
    <col customWidth="1" min="19" max="19" width="7.29"/>
    <col customWidth="1" min="20" max="21" width="14.43"/>
    <col customWidth="1" min="22" max="22" width="7.29"/>
    <col customWidth="1" min="23" max="23" width="3.71"/>
    <col customWidth="1" min="24" max="24" width="14.43"/>
    <col customWidth="1" min="25" max="25" width="4.43"/>
    <col customWidth="1" min="28" max="28" width="4.43"/>
    <col customWidth="1" min="30" max="41" width="4.43"/>
    <col customWidth="1" min="42" max="42" width="14.43"/>
    <col customWidth="1" min="44" max="44" width="3.14"/>
    <col customWidth="1" min="45" max="45" width="3.71"/>
  </cols>
  <sheetData>
    <row r="1">
      <c r="A1" s="13"/>
      <c r="B1" s="13"/>
      <c r="C1" s="13"/>
      <c r="D1" s="13"/>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4"/>
      <c r="AS1" s="14"/>
    </row>
    <row r="2">
      <c r="A2" s="13"/>
      <c r="B2" s="15"/>
      <c r="C2" s="16" t="s">
        <v>19</v>
      </c>
      <c r="D2" s="16" t="str">
        <f>IF(F89&lt;=0,"Mechanoid",VLOOKUP(P3,'Race Modification'!C2:S55,17,FALSE))</f>
        <v>Voidanoid</v>
      </c>
      <c r="F2" s="16" t="s">
        <v>27</v>
      </c>
      <c r="H2" s="17" t="str">
        <f>IF(D2="Mechanoid","Electricity(1d6), Ion(2d6)",X121)</f>
        <v>-</v>
      </c>
      <c r="M2" s="16"/>
      <c r="N2" s="16" t="s">
        <v>28</v>
      </c>
      <c r="U2" s="16"/>
      <c r="V2" s="16"/>
      <c r="W2" s="18"/>
      <c r="X2" s="18"/>
      <c r="Y2" s="16"/>
      <c r="Z2" s="16" t="s">
        <v>29</v>
      </c>
      <c r="AD2" s="16" t="s">
        <v>30</v>
      </c>
      <c r="AP2" s="19" t="s">
        <v>31</v>
      </c>
      <c r="AQ2" s="20" t="s">
        <v>32</v>
      </c>
      <c r="AR2" s="18"/>
      <c r="AS2" s="14"/>
    </row>
    <row r="3">
      <c r="A3" s="13"/>
      <c r="B3" s="15"/>
      <c r="C3" s="21" t="s">
        <v>3</v>
      </c>
      <c r="D3" s="22"/>
      <c r="H3" s="18"/>
      <c r="I3" s="23" t="s">
        <v>33</v>
      </c>
      <c r="J3" s="24" t="s">
        <v>34</v>
      </c>
      <c r="M3" s="24" t="s">
        <v>35</v>
      </c>
      <c r="N3" s="24" t="s">
        <v>36</v>
      </c>
      <c r="O3" s="24" t="s">
        <v>37</v>
      </c>
      <c r="P3" s="25" t="s">
        <v>38</v>
      </c>
      <c r="R3" s="25" t="s">
        <v>39</v>
      </c>
      <c r="S3" s="24" t="s">
        <v>40</v>
      </c>
      <c r="T3" s="26" t="s">
        <v>41</v>
      </c>
      <c r="Y3" s="27"/>
      <c r="AD3" s="30" t="str">
        <f>IF(T4="Strength",1,AD108)</f>
        <v/>
      </c>
      <c r="AE3" s="33" t="str">
        <f>IF(T4="Agility",1,AE108)</f>
        <v/>
      </c>
      <c r="AF3" s="33" t="str">
        <f>IF(T4="Endurance",1,AF108)</f>
        <v/>
      </c>
      <c r="AG3" s="33" t="str">
        <f>IF(T4="Willpower",1,AG108)</f>
        <v/>
      </c>
      <c r="AH3" s="33" t="str">
        <f>IF(T4="Intuition",1,AH108)</f>
        <v/>
      </c>
      <c r="AI3" s="33" t="str">
        <f>IF(T4="Logic",1,AI108)</f>
        <v/>
      </c>
      <c r="AJ3" s="33" t="str">
        <f>IF(T4="Charisma",1,AJ108)</f>
        <v/>
      </c>
      <c r="AK3" s="33" t="str">
        <f>IF(T4="Luck",1,AK108)</f>
        <v/>
      </c>
      <c r="AL3" s="33" t="str">
        <f>IF(T4="Reputation",1,AL108)</f>
        <v/>
      </c>
      <c r="AM3" s="33" t="str">
        <f>IF(T4="Psionics",1,AM108)</f>
        <v/>
      </c>
      <c r="AN3" s="33" t="str">
        <f>IF(T4="Magic",1,AN108)</f>
        <v/>
      </c>
      <c r="AO3" s="33" t="str">
        <f>IF(T4="Chi",1,AO108)</f>
        <v/>
      </c>
      <c r="AP3" s="36"/>
      <c r="AQ3" s="36"/>
      <c r="AR3" s="18"/>
      <c r="AS3" s="14"/>
    </row>
    <row r="4">
      <c r="A4" s="13"/>
      <c r="B4" s="15"/>
      <c r="H4" s="18"/>
      <c r="I4" s="16"/>
      <c r="J4" s="16"/>
      <c r="K4" s="16"/>
      <c r="L4" s="38" t="str">
        <f>IF(P3="Select Race","",(CONCATENATE("Age Range - Adult (",VLOOKUP(P3,'Race Modification'!C2:U55,18,FALSE),"-",VLOOKUP(P3,'Race Modification'!C2:U55,19,FALSE),")")))</f>
        <v/>
      </c>
      <c r="M4" s="16" t="s">
        <v>48</v>
      </c>
      <c r="T4" s="39" t="s">
        <v>49</v>
      </c>
      <c r="Y4" s="18"/>
      <c r="Z4" s="40" t="s">
        <v>39</v>
      </c>
      <c r="AA4" s="40" t="s">
        <v>52</v>
      </c>
      <c r="AB4" s="40" t="s">
        <v>53</v>
      </c>
      <c r="AC4" s="41" t="s">
        <v>54</v>
      </c>
      <c r="AD4" s="41" t="s">
        <v>56</v>
      </c>
      <c r="AE4" s="41" t="s">
        <v>57</v>
      </c>
      <c r="AF4" s="41" t="s">
        <v>58</v>
      </c>
      <c r="AG4" s="41" t="s">
        <v>59</v>
      </c>
      <c r="AH4" s="41" t="s">
        <v>60</v>
      </c>
      <c r="AI4" s="41" t="s">
        <v>61</v>
      </c>
      <c r="AJ4" s="41" t="s">
        <v>62</v>
      </c>
      <c r="AK4" s="41" t="s">
        <v>63</v>
      </c>
      <c r="AL4" s="41" t="s">
        <v>64</v>
      </c>
      <c r="AM4" s="41" t="s">
        <v>65</v>
      </c>
      <c r="AN4" s="41" t="s">
        <v>66</v>
      </c>
      <c r="AO4" s="41" t="s">
        <v>67</v>
      </c>
      <c r="AP4" s="41" t="s">
        <v>68</v>
      </c>
      <c r="AQ4" s="41" t="s">
        <v>69</v>
      </c>
      <c r="AR4" s="18"/>
      <c r="AS4" s="14"/>
    </row>
    <row r="5">
      <c r="A5" s="13"/>
      <c r="B5" s="15"/>
      <c r="C5" s="42" t="s">
        <v>52</v>
      </c>
      <c r="D5" s="41" t="s">
        <v>70</v>
      </c>
      <c r="E5" s="40" t="s">
        <v>71</v>
      </c>
      <c r="G5" s="43" t="s">
        <v>72</v>
      </c>
      <c r="H5" s="18"/>
      <c r="I5" s="44" t="s">
        <v>73</v>
      </c>
      <c r="K5" s="16"/>
      <c r="L5" s="4" t="s">
        <v>74</v>
      </c>
      <c r="M5" s="41" t="s">
        <v>20</v>
      </c>
      <c r="Y5" s="18"/>
      <c r="Z5" s="45"/>
      <c r="AA5" s="45"/>
      <c r="AB5" s="45"/>
      <c r="AC5" s="45"/>
      <c r="AD5" s="46"/>
      <c r="AE5" s="45"/>
      <c r="AF5" s="45"/>
      <c r="AG5" s="45"/>
      <c r="AH5" s="45"/>
      <c r="AI5" s="46"/>
      <c r="AJ5" s="45"/>
      <c r="AK5" s="46"/>
      <c r="AL5" s="45"/>
      <c r="AM5" s="45"/>
      <c r="AN5" s="46"/>
      <c r="AO5" s="46"/>
      <c r="AP5" s="47"/>
      <c r="AQ5" s="47"/>
      <c r="AR5" s="18"/>
      <c r="AS5" s="14"/>
    </row>
    <row r="6">
      <c r="A6" s="13"/>
      <c r="B6" s="18"/>
      <c r="C6" s="48">
        <v>5.0</v>
      </c>
      <c r="D6" s="49" t="str">
        <f>IF(C6&lt;2,"1d6",IF(C6&lt;3,"2d6",IF(C6&lt;4,"3d6",IF(C6&lt;5,"4d6",IF(C6&lt;6,"5d6",IF(C6&lt;8,"6d6",IF(C6&lt;11,"7d6",IF(C6&lt;15,"8d6",IF(C6&lt;20,"9d6",IF(C6&lt;26,"10d6",IF(C6&lt;33,"11d6",IF(C6&lt;41,"12d6",0))))))))))))</f>
        <v>5d6</v>
      </c>
      <c r="E6" s="51" t="str">
        <f>IF(F7="Agricultural","END +1",IF(F7="Arctic","END +1",IF(F7="Asteroid","AGI +1",IF(F7="Barren","END +1",IF(F7="City","CHA +1",IF(F7="Desert","END +1",IF(F7="Jungle","AGI +1",IF(F7="Ocean","AGI +1",IF(F7="Volcanic","AGI +1","")))))))))</f>
        <v/>
      </c>
      <c r="F6" s="52" t="str">
        <f>IF(F7="Agricultural","LOG -1",IF(F7="Arctic","AGI -1",IF(F7="Asteroid","STR -1",IF(F7="Barren","CHA -1",IF(F7="City","END -1",IF(F7="Desert","AGI -1",IF(F7="Jungle","END -1",IF(F7="Ocean","INT -1",IF(F7="Volcanic","STR -1","")))))))))</f>
        <v/>
      </c>
      <c r="G6" s="53" t="s">
        <v>75</v>
      </c>
      <c r="H6" s="18"/>
      <c r="K6" s="54"/>
      <c r="L6" s="55"/>
      <c r="M6" s="56"/>
      <c r="N6" s="57"/>
      <c r="O6" s="57"/>
      <c r="P6" s="57"/>
      <c r="Q6" s="57"/>
      <c r="R6" s="57"/>
      <c r="S6" s="57"/>
      <c r="T6" s="57"/>
      <c r="U6" s="57"/>
      <c r="V6" s="57"/>
      <c r="W6" s="57"/>
      <c r="X6" s="58"/>
      <c r="Y6" s="18"/>
      <c r="Z6" s="59"/>
      <c r="AA6" s="59"/>
      <c r="AB6" s="59"/>
      <c r="AC6" s="60"/>
      <c r="AD6" s="61"/>
      <c r="AE6" s="60"/>
      <c r="AF6" s="62"/>
      <c r="AG6" s="62"/>
      <c r="AH6" s="60"/>
      <c r="AI6" s="62"/>
      <c r="AJ6" s="62"/>
      <c r="AK6" s="60"/>
      <c r="AL6" s="62"/>
      <c r="AM6" s="62"/>
      <c r="AN6" s="62"/>
      <c r="AO6" s="62"/>
      <c r="AP6" s="63"/>
      <c r="AQ6" s="65"/>
      <c r="AR6" s="18"/>
      <c r="AS6" s="14"/>
    </row>
    <row r="7">
      <c r="A7" s="13"/>
      <c r="B7" s="18"/>
      <c r="E7" s="66" t="s">
        <v>76</v>
      </c>
      <c r="F7" s="67" t="s">
        <v>77</v>
      </c>
      <c r="H7" s="18"/>
      <c r="K7" s="54"/>
      <c r="L7" s="69"/>
      <c r="M7" s="71"/>
      <c r="N7" s="57"/>
      <c r="O7" s="57"/>
      <c r="P7" s="57"/>
      <c r="Q7" s="57"/>
      <c r="R7" s="57"/>
      <c r="S7" s="57"/>
      <c r="T7" s="57"/>
      <c r="U7" s="57"/>
      <c r="V7" s="57"/>
      <c r="W7" s="57"/>
      <c r="X7" s="58"/>
      <c r="Y7" s="18"/>
      <c r="Z7" s="45"/>
      <c r="AA7" s="45"/>
      <c r="AB7" s="45"/>
      <c r="AC7" s="73"/>
      <c r="AD7" s="75"/>
      <c r="AE7" s="76"/>
      <c r="AF7" s="75"/>
      <c r="AG7" s="76"/>
      <c r="AH7" s="76"/>
      <c r="AI7" s="77"/>
      <c r="AJ7" s="75"/>
      <c r="AK7" s="76"/>
      <c r="AL7" s="75"/>
      <c r="AM7" s="75"/>
      <c r="AN7" s="75"/>
      <c r="AO7" s="75"/>
      <c r="AP7" s="78"/>
      <c r="AQ7" s="79"/>
      <c r="AR7" s="15"/>
      <c r="AS7" s="80"/>
    </row>
    <row r="8">
      <c r="A8" s="13"/>
      <c r="B8" s="15"/>
      <c r="C8" s="16" t="s">
        <v>71</v>
      </c>
      <c r="K8" s="54"/>
      <c r="L8" s="55"/>
      <c r="M8" s="56"/>
      <c r="N8" s="57"/>
      <c r="O8" s="57"/>
      <c r="P8" s="57"/>
      <c r="Q8" s="57"/>
      <c r="R8" s="57"/>
      <c r="S8" s="57"/>
      <c r="T8" s="57"/>
      <c r="U8" s="57"/>
      <c r="V8" s="57"/>
      <c r="W8" s="57"/>
      <c r="X8" s="58"/>
      <c r="Y8" s="18"/>
      <c r="Z8" s="59"/>
      <c r="AA8" s="59"/>
      <c r="AB8" s="59"/>
      <c r="AC8" s="60"/>
      <c r="AD8" s="61"/>
      <c r="AE8" s="61"/>
      <c r="AF8" s="61"/>
      <c r="AG8" s="83"/>
      <c r="AH8" s="61"/>
      <c r="AI8" s="62"/>
      <c r="AJ8" s="61"/>
      <c r="AK8" s="83"/>
      <c r="AL8" s="61"/>
      <c r="AM8" s="83"/>
      <c r="AN8" s="83"/>
      <c r="AO8" s="83"/>
      <c r="AP8" s="84"/>
      <c r="AQ8" s="85"/>
      <c r="AR8" s="15"/>
      <c r="AS8" s="80"/>
    </row>
    <row r="9">
      <c r="A9" s="13"/>
      <c r="B9" s="15"/>
      <c r="C9" s="86" t="s">
        <v>80</v>
      </c>
      <c r="D9" s="86" t="s">
        <v>81</v>
      </c>
      <c r="E9" s="86" t="s">
        <v>82</v>
      </c>
      <c r="F9" s="86" t="s">
        <v>83</v>
      </c>
      <c r="G9" s="86" t="s">
        <v>84</v>
      </c>
      <c r="H9" s="86" t="s">
        <v>85</v>
      </c>
      <c r="I9" s="87"/>
      <c r="J9" s="87"/>
      <c r="K9" s="54"/>
      <c r="L9" s="69"/>
      <c r="M9" s="71"/>
      <c r="N9" s="57"/>
      <c r="O9" s="57"/>
      <c r="P9" s="57"/>
      <c r="Q9" s="57"/>
      <c r="R9" s="57"/>
      <c r="S9" s="57"/>
      <c r="T9" s="57"/>
      <c r="U9" s="57"/>
      <c r="V9" s="57"/>
      <c r="W9" s="57"/>
      <c r="X9" s="58"/>
      <c r="Y9" s="18"/>
      <c r="Z9" s="45"/>
      <c r="AA9" s="45"/>
      <c r="AB9" s="45"/>
      <c r="AC9" s="73"/>
      <c r="AD9" s="73"/>
      <c r="AE9" s="76"/>
      <c r="AF9" s="77"/>
      <c r="AG9" s="77"/>
      <c r="AH9" s="73"/>
      <c r="AI9" s="77"/>
      <c r="AJ9" s="75"/>
      <c r="AK9" s="75"/>
      <c r="AL9" s="76"/>
      <c r="AM9" s="76"/>
      <c r="AN9" s="75"/>
      <c r="AO9" s="75"/>
      <c r="AP9" s="78"/>
      <c r="AQ9" s="79"/>
      <c r="AR9" s="15"/>
      <c r="AS9" s="80"/>
    </row>
    <row r="10">
      <c r="A10" s="13"/>
      <c r="B10" s="18"/>
      <c r="C10" s="88" t="str">
        <f t="shared" ref="C10:G10" si="1">AE33&amp;"d6"</f>
        <v>2d6</v>
      </c>
      <c r="D10" s="88" t="str">
        <f t="shared" si="1"/>
        <v>2d6</v>
      </c>
      <c r="E10" s="88" t="str">
        <f t="shared" si="1"/>
        <v>2d6</v>
      </c>
      <c r="F10" s="88" t="str">
        <f t="shared" si="1"/>
        <v>2d6</v>
      </c>
      <c r="G10" s="88" t="str">
        <f t="shared" si="1"/>
        <v>2d6</v>
      </c>
      <c r="H10" s="88" t="str">
        <f>AG37&amp;"d6"</f>
        <v>0d6</v>
      </c>
      <c r="K10" s="54"/>
      <c r="L10" s="55"/>
      <c r="M10" s="56"/>
      <c r="N10" s="57"/>
      <c r="O10" s="57"/>
      <c r="P10" s="57"/>
      <c r="Q10" s="57"/>
      <c r="R10" s="57"/>
      <c r="S10" s="57"/>
      <c r="T10" s="57"/>
      <c r="U10" s="57"/>
      <c r="V10" s="57"/>
      <c r="W10" s="57"/>
      <c r="X10" s="58"/>
      <c r="Y10" s="18"/>
      <c r="Z10" s="59"/>
      <c r="AA10" s="90"/>
      <c r="AB10" s="90"/>
      <c r="AC10" s="60"/>
      <c r="AD10" s="62"/>
      <c r="AE10" s="83"/>
      <c r="AF10" s="83"/>
      <c r="AG10" s="83"/>
      <c r="AH10" s="83"/>
      <c r="AI10" s="62"/>
      <c r="AJ10" s="62"/>
      <c r="AK10" s="62"/>
      <c r="AL10" s="62"/>
      <c r="AM10" s="62"/>
      <c r="AN10" s="62"/>
      <c r="AO10" s="62"/>
      <c r="AP10" s="63"/>
      <c r="AQ10" s="65"/>
      <c r="AR10" s="18"/>
      <c r="AS10" s="14"/>
    </row>
    <row r="11">
      <c r="A11" s="13"/>
      <c r="B11" s="18"/>
      <c r="K11" s="54"/>
      <c r="L11" s="69"/>
      <c r="M11" s="71"/>
      <c r="N11" s="57"/>
      <c r="O11" s="57"/>
      <c r="P11" s="57"/>
      <c r="Q11" s="57"/>
      <c r="R11" s="57"/>
      <c r="S11" s="57"/>
      <c r="T11" s="57"/>
      <c r="U11" s="57"/>
      <c r="V11" s="57"/>
      <c r="W11" s="57"/>
      <c r="X11" s="58"/>
      <c r="Y11" s="18"/>
      <c r="Z11" s="45"/>
      <c r="AA11" s="46"/>
      <c r="AB11" s="46"/>
      <c r="AC11" s="73"/>
      <c r="AD11" s="73"/>
      <c r="AE11" s="77"/>
      <c r="AF11" s="73"/>
      <c r="AG11" s="77"/>
      <c r="AH11" s="77"/>
      <c r="AI11" s="77"/>
      <c r="AJ11" s="77"/>
      <c r="AK11" s="77"/>
      <c r="AL11" s="77"/>
      <c r="AM11" s="77"/>
      <c r="AN11" s="77"/>
      <c r="AO11" s="77"/>
      <c r="AP11" s="93"/>
      <c r="AQ11" s="47"/>
      <c r="AR11" s="18"/>
      <c r="AS11" s="14"/>
    </row>
    <row r="12">
      <c r="A12" s="13"/>
      <c r="B12" s="18"/>
      <c r="C12" s="95"/>
      <c r="D12" s="96"/>
      <c r="E12" s="96"/>
      <c r="F12" s="96"/>
      <c r="G12" s="97"/>
      <c r="H12" s="99"/>
      <c r="K12" s="54"/>
      <c r="L12" s="55"/>
      <c r="M12" s="56"/>
      <c r="N12" s="57"/>
      <c r="O12" s="57"/>
      <c r="P12" s="57"/>
      <c r="Q12" s="57"/>
      <c r="R12" s="57"/>
      <c r="S12" s="57"/>
      <c r="T12" s="57"/>
      <c r="U12" s="57"/>
      <c r="V12" s="57"/>
      <c r="W12" s="57"/>
      <c r="X12" s="58"/>
      <c r="Y12" s="18"/>
      <c r="Z12" s="59"/>
      <c r="AA12" s="90"/>
      <c r="AB12" s="90"/>
      <c r="AC12" s="62"/>
      <c r="AD12" s="62"/>
      <c r="AE12" s="60"/>
      <c r="AF12" s="60"/>
      <c r="AG12" s="62"/>
      <c r="AH12" s="62"/>
      <c r="AI12" s="62"/>
      <c r="AJ12" s="62"/>
      <c r="AK12" s="62"/>
      <c r="AL12" s="62"/>
      <c r="AM12" s="62"/>
      <c r="AN12" s="62"/>
      <c r="AO12" s="62"/>
      <c r="AP12" s="63"/>
      <c r="AQ12" s="65"/>
      <c r="AR12" s="18"/>
      <c r="AS12" s="14"/>
    </row>
    <row r="13">
      <c r="A13" s="13"/>
      <c r="B13" s="18"/>
      <c r="C13" s="100">
        <f t="shared" ref="C13:G13" si="2">3+C15+AD106+SUM(AD5:AD24)</f>
        <v>3</v>
      </c>
      <c r="D13" s="100">
        <f t="shared" si="2"/>
        <v>3</v>
      </c>
      <c r="E13" s="100">
        <f t="shared" si="2"/>
        <v>3</v>
      </c>
      <c r="F13" s="100">
        <f t="shared" si="2"/>
        <v>3</v>
      </c>
      <c r="G13" s="100">
        <f t="shared" si="2"/>
        <v>3</v>
      </c>
      <c r="H13" s="100">
        <f>0+H15+AN106+SUM(AN5:AN24)</f>
        <v>0</v>
      </c>
      <c r="K13" s="54"/>
      <c r="L13" s="103"/>
      <c r="M13" s="71"/>
      <c r="N13" s="57"/>
      <c r="O13" s="57"/>
      <c r="P13" s="57"/>
      <c r="Q13" s="57"/>
      <c r="R13" s="57"/>
      <c r="S13" s="57"/>
      <c r="T13" s="57"/>
      <c r="U13" s="57"/>
      <c r="V13" s="57"/>
      <c r="W13" s="57"/>
      <c r="X13" s="58"/>
      <c r="Y13" s="18"/>
      <c r="Z13" s="45"/>
      <c r="AA13" s="46"/>
      <c r="AB13" s="46"/>
      <c r="AC13" s="77"/>
      <c r="AD13" s="77"/>
      <c r="AE13" s="77"/>
      <c r="AF13" s="77"/>
      <c r="AG13" s="77"/>
      <c r="AH13" s="77"/>
      <c r="AI13" s="77"/>
      <c r="AJ13" s="77"/>
      <c r="AK13" s="77"/>
      <c r="AL13" s="77"/>
      <c r="AM13" s="77"/>
      <c r="AN13" s="73"/>
      <c r="AO13" s="77"/>
      <c r="AP13" s="93"/>
      <c r="AQ13" s="47"/>
      <c r="AR13" s="18"/>
      <c r="AS13" s="104"/>
    </row>
    <row r="14">
      <c r="A14" s="13"/>
      <c r="B14" s="18"/>
      <c r="K14" s="54"/>
      <c r="L14" s="105"/>
      <c r="M14" s="56"/>
      <c r="N14" s="57"/>
      <c r="O14" s="57"/>
      <c r="P14" s="57"/>
      <c r="Q14" s="57"/>
      <c r="R14" s="57"/>
      <c r="S14" s="57"/>
      <c r="T14" s="57"/>
      <c r="U14" s="57"/>
      <c r="V14" s="57"/>
      <c r="W14" s="57"/>
      <c r="X14" s="58"/>
      <c r="Y14" s="18"/>
      <c r="Z14" s="59"/>
      <c r="AA14" s="90"/>
      <c r="AB14" s="90"/>
      <c r="AC14" s="62"/>
      <c r="AD14" s="62"/>
      <c r="AE14" s="62"/>
      <c r="AF14" s="62"/>
      <c r="AG14" s="62"/>
      <c r="AH14" s="62"/>
      <c r="AI14" s="62"/>
      <c r="AJ14" s="62"/>
      <c r="AK14" s="62"/>
      <c r="AL14" s="62"/>
      <c r="AM14" s="62"/>
      <c r="AN14" s="62"/>
      <c r="AO14" s="62"/>
      <c r="AP14" s="106"/>
      <c r="AQ14" s="107"/>
      <c r="AR14" s="18"/>
      <c r="AS14" s="14"/>
    </row>
    <row r="15">
      <c r="A15" s="13"/>
      <c r="B15" s="18"/>
      <c r="C15" s="95"/>
      <c r="D15" s="96"/>
      <c r="E15" s="109"/>
      <c r="F15" s="109"/>
      <c r="G15" s="99"/>
      <c r="H15" s="99"/>
      <c r="K15" s="54"/>
      <c r="L15" s="103"/>
      <c r="M15" s="71"/>
      <c r="N15" s="57"/>
      <c r="O15" s="57"/>
      <c r="P15" s="57"/>
      <c r="Q15" s="57"/>
      <c r="R15" s="57"/>
      <c r="S15" s="57"/>
      <c r="T15" s="57"/>
      <c r="U15" s="57"/>
      <c r="V15" s="57"/>
      <c r="W15" s="57"/>
      <c r="X15" s="58"/>
      <c r="Y15" s="18"/>
      <c r="Z15" s="45"/>
      <c r="AA15" s="46"/>
      <c r="AB15" s="46"/>
      <c r="AC15" s="77"/>
      <c r="AD15" s="73"/>
      <c r="AE15" s="73"/>
      <c r="AF15" s="77"/>
      <c r="AG15" s="77"/>
      <c r="AH15" s="77"/>
      <c r="AI15" s="77"/>
      <c r="AJ15" s="77"/>
      <c r="AK15" s="77"/>
      <c r="AL15" s="77"/>
      <c r="AM15" s="77"/>
      <c r="AN15" s="77"/>
      <c r="AO15" s="77"/>
      <c r="AP15" s="93"/>
      <c r="AQ15" s="112"/>
      <c r="AR15" s="18"/>
      <c r="AS15" s="14"/>
    </row>
    <row r="16">
      <c r="A16" s="13"/>
      <c r="B16" s="18"/>
      <c r="C16" s="42" t="s">
        <v>86</v>
      </c>
      <c r="D16" s="42" t="s">
        <v>87</v>
      </c>
      <c r="E16" s="42" t="s">
        <v>88</v>
      </c>
      <c r="F16" s="42" t="s">
        <v>89</v>
      </c>
      <c r="G16" s="42" t="s">
        <v>90</v>
      </c>
      <c r="H16" s="42" t="s">
        <v>91</v>
      </c>
      <c r="K16" s="54"/>
      <c r="L16" s="55"/>
      <c r="M16" s="56"/>
      <c r="N16" s="57"/>
      <c r="O16" s="57"/>
      <c r="P16" s="57"/>
      <c r="Q16" s="57"/>
      <c r="R16" s="57"/>
      <c r="S16" s="57"/>
      <c r="T16" s="57"/>
      <c r="U16" s="57"/>
      <c r="V16" s="57"/>
      <c r="W16" s="57"/>
      <c r="X16" s="58"/>
      <c r="Y16" s="18"/>
      <c r="Z16" s="59"/>
      <c r="AA16" s="90"/>
      <c r="AB16" s="90"/>
      <c r="AC16" s="59"/>
      <c r="AD16" s="90"/>
      <c r="AE16" s="90"/>
      <c r="AF16" s="90"/>
      <c r="AG16" s="90"/>
      <c r="AH16" s="90"/>
      <c r="AI16" s="90"/>
      <c r="AJ16" s="90"/>
      <c r="AK16" s="90"/>
      <c r="AL16" s="90"/>
      <c r="AM16" s="90"/>
      <c r="AN16" s="90"/>
      <c r="AO16" s="90"/>
      <c r="AP16" s="65"/>
      <c r="AQ16" s="107"/>
      <c r="AR16" s="18"/>
      <c r="AS16" s="14"/>
    </row>
    <row r="17">
      <c r="A17" s="13"/>
      <c r="B17" s="18"/>
      <c r="C17" s="88" t="str">
        <f t="shared" ref="C17:G17" si="3">AE35&amp;"d6"</f>
        <v>2d6</v>
      </c>
      <c r="D17" s="88" t="str">
        <f t="shared" si="3"/>
        <v>2d6</v>
      </c>
      <c r="E17" s="88" t="str">
        <f t="shared" si="3"/>
        <v>2d6</v>
      </c>
      <c r="F17" s="88" t="str">
        <f t="shared" si="3"/>
        <v>0d6</v>
      </c>
      <c r="G17" s="88" t="str">
        <f t="shared" si="3"/>
        <v>0d6</v>
      </c>
      <c r="H17" s="88" t="str">
        <f>AG38&amp;"d6"</f>
        <v>0d6</v>
      </c>
      <c r="K17" s="54"/>
      <c r="L17" s="114"/>
      <c r="M17" s="71"/>
      <c r="N17" s="57"/>
      <c r="O17" s="57"/>
      <c r="P17" s="57"/>
      <c r="Q17" s="57"/>
      <c r="R17" s="57"/>
      <c r="S17" s="57"/>
      <c r="T17" s="57"/>
      <c r="U17" s="57"/>
      <c r="V17" s="57"/>
      <c r="W17" s="57"/>
      <c r="X17" s="58"/>
      <c r="Y17" s="18"/>
      <c r="Z17" s="45"/>
      <c r="AA17" s="46"/>
      <c r="AB17" s="46"/>
      <c r="AC17" s="46"/>
      <c r="AD17" s="45"/>
      <c r="AE17" s="46"/>
      <c r="AF17" s="45"/>
      <c r="AG17" s="46"/>
      <c r="AH17" s="46"/>
      <c r="AI17" s="46"/>
      <c r="AJ17" s="46"/>
      <c r="AK17" s="46"/>
      <c r="AL17" s="46"/>
      <c r="AM17" s="46"/>
      <c r="AN17" s="46"/>
      <c r="AO17" s="46"/>
      <c r="AP17" s="47"/>
      <c r="AQ17" s="112"/>
      <c r="AR17" s="18"/>
      <c r="AS17" s="14"/>
    </row>
    <row r="18">
      <c r="A18" s="13"/>
      <c r="B18" s="18"/>
      <c r="K18" s="54"/>
      <c r="L18" s="116"/>
      <c r="M18" s="56"/>
      <c r="N18" s="57"/>
      <c r="O18" s="57"/>
      <c r="P18" s="57"/>
      <c r="Q18" s="57"/>
      <c r="R18" s="57"/>
      <c r="S18" s="57"/>
      <c r="T18" s="57"/>
      <c r="U18" s="57"/>
      <c r="V18" s="57"/>
      <c r="W18" s="57"/>
      <c r="X18" s="58"/>
      <c r="Y18" s="18"/>
      <c r="Z18" s="59"/>
      <c r="AA18" s="90"/>
      <c r="AB18" s="90"/>
      <c r="AC18" s="90"/>
      <c r="AD18" s="90"/>
      <c r="AE18" s="90"/>
      <c r="AF18" s="90"/>
      <c r="AG18" s="90"/>
      <c r="AH18" s="90"/>
      <c r="AI18" s="90"/>
      <c r="AJ18" s="90"/>
      <c r="AK18" s="90"/>
      <c r="AL18" s="90"/>
      <c r="AM18" s="90"/>
      <c r="AN18" s="90"/>
      <c r="AO18" s="90"/>
      <c r="AP18" s="65"/>
      <c r="AQ18" s="107"/>
      <c r="AR18" s="18"/>
      <c r="AS18" s="14"/>
    </row>
    <row r="19">
      <c r="A19" s="13"/>
      <c r="B19" s="18"/>
      <c r="C19" s="117"/>
      <c r="D19" s="109"/>
      <c r="E19" s="96"/>
      <c r="F19" s="109"/>
      <c r="G19" s="97"/>
      <c r="H19" s="99"/>
      <c r="K19" s="54"/>
      <c r="L19" s="114"/>
      <c r="M19" s="71"/>
      <c r="N19" s="57"/>
      <c r="O19" s="57"/>
      <c r="P19" s="57"/>
      <c r="Q19" s="57"/>
      <c r="R19" s="57"/>
      <c r="S19" s="57"/>
      <c r="T19" s="57"/>
      <c r="U19" s="57"/>
      <c r="V19" s="57"/>
      <c r="W19" s="57"/>
      <c r="X19" s="58"/>
      <c r="Y19" s="18"/>
      <c r="Z19" s="45"/>
      <c r="AA19" s="46"/>
      <c r="AB19" s="46"/>
      <c r="AC19" s="45"/>
      <c r="AD19" s="46"/>
      <c r="AE19" s="46"/>
      <c r="AF19" s="46"/>
      <c r="AG19" s="46"/>
      <c r="AH19" s="46"/>
      <c r="AI19" s="46"/>
      <c r="AJ19" s="46"/>
      <c r="AK19" s="46"/>
      <c r="AL19" s="46"/>
      <c r="AM19" s="46"/>
      <c r="AN19" s="46"/>
      <c r="AO19" s="46"/>
      <c r="AP19" s="47"/>
      <c r="AQ19" s="112"/>
      <c r="AR19" s="18"/>
      <c r="AS19" s="14"/>
    </row>
    <row r="20">
      <c r="A20" s="13"/>
      <c r="B20" s="18"/>
      <c r="C20" s="100">
        <f>3+C22+AI106+G196+SUM(AI5:AI24)</f>
        <v>3</v>
      </c>
      <c r="D20" s="100">
        <f t="shared" ref="D20:E20" si="4">3+D22+AJ106+SUM(AJ5:AJ24)</f>
        <v>3</v>
      </c>
      <c r="E20" s="100">
        <f t="shared" si="4"/>
        <v>3</v>
      </c>
      <c r="F20" s="100">
        <f>F22+AL106+SUM(AL5:AL24)</f>
        <v>0</v>
      </c>
      <c r="G20" s="100">
        <f>IF(N136&gt;0,0,G22+AM106+SUM(AM5:AM24))</f>
        <v>0</v>
      </c>
      <c r="H20" s="100">
        <f>H22+AO106+SUM(AO5:AO24)</f>
        <v>0</v>
      </c>
      <c r="K20" s="54"/>
      <c r="L20" s="116"/>
      <c r="M20" s="56"/>
      <c r="N20" s="57"/>
      <c r="O20" s="57"/>
      <c r="P20" s="57"/>
      <c r="Q20" s="57"/>
      <c r="R20" s="57"/>
      <c r="S20" s="57"/>
      <c r="T20" s="57"/>
      <c r="U20" s="57"/>
      <c r="V20" s="57"/>
      <c r="W20" s="57"/>
      <c r="X20" s="58"/>
      <c r="Y20" s="18"/>
      <c r="Z20" s="59"/>
      <c r="AA20" s="90"/>
      <c r="AB20" s="90"/>
      <c r="AC20" s="59"/>
      <c r="AD20" s="90"/>
      <c r="AE20" s="90"/>
      <c r="AF20" s="90"/>
      <c r="AG20" s="90"/>
      <c r="AH20" s="90"/>
      <c r="AI20" s="90"/>
      <c r="AJ20" s="90"/>
      <c r="AK20" s="90"/>
      <c r="AL20" s="90"/>
      <c r="AM20" s="90"/>
      <c r="AN20" s="90"/>
      <c r="AO20" s="90"/>
      <c r="AP20" s="65"/>
      <c r="AQ20" s="65"/>
      <c r="AR20" s="18"/>
      <c r="AS20" s="14"/>
    </row>
    <row r="21">
      <c r="A21" s="13"/>
      <c r="B21" s="18" t="str">
        <f>VLOOKUP(P3,'Race Modification'!C2:BP55,66,FALSE)</f>
        <v/>
      </c>
      <c r="K21" s="54"/>
      <c r="L21" s="114"/>
      <c r="M21" s="71"/>
      <c r="N21" s="57"/>
      <c r="O21" s="57"/>
      <c r="P21" s="57"/>
      <c r="Q21" s="57"/>
      <c r="R21" s="57"/>
      <c r="S21" s="57"/>
      <c r="T21" s="57"/>
      <c r="U21" s="57"/>
      <c r="V21" s="57"/>
      <c r="W21" s="57"/>
      <c r="X21" s="58"/>
      <c r="Y21" s="18"/>
      <c r="Z21" s="45"/>
      <c r="AA21" s="46"/>
      <c r="AB21" s="46"/>
      <c r="AC21" s="45"/>
      <c r="AD21" s="46"/>
      <c r="AE21" s="46"/>
      <c r="AF21" s="46"/>
      <c r="AG21" s="46"/>
      <c r="AH21" s="46"/>
      <c r="AI21" s="46"/>
      <c r="AJ21" s="46"/>
      <c r="AK21" s="46"/>
      <c r="AL21" s="46"/>
      <c r="AM21" s="46"/>
      <c r="AN21" s="46"/>
      <c r="AO21" s="46"/>
      <c r="AP21" s="47"/>
      <c r="AQ21" s="112"/>
      <c r="AR21" s="18"/>
      <c r="AS21" s="14"/>
    </row>
    <row r="22">
      <c r="A22" s="13"/>
      <c r="B22" s="120" t="str">
        <f>VLOOKUP(P3,'Race Modification'!C2:BO55,37,FALSE)</f>
        <v/>
      </c>
      <c r="C22" s="121"/>
      <c r="D22" s="122"/>
      <c r="E22" s="122"/>
      <c r="F22" s="123"/>
      <c r="G22" s="124"/>
      <c r="H22" s="124"/>
      <c r="I22" s="36"/>
      <c r="J22" s="36"/>
      <c r="K22" s="54"/>
      <c r="L22" s="116"/>
      <c r="M22" s="56"/>
      <c r="N22" s="57"/>
      <c r="O22" s="57"/>
      <c r="P22" s="57"/>
      <c r="Q22" s="57"/>
      <c r="R22" s="57"/>
      <c r="S22" s="57"/>
      <c r="T22" s="57"/>
      <c r="U22" s="57"/>
      <c r="V22" s="57"/>
      <c r="W22" s="57"/>
      <c r="X22" s="58"/>
      <c r="Y22" s="18"/>
      <c r="Z22" s="59"/>
      <c r="AA22" s="90"/>
      <c r="AB22" s="90"/>
      <c r="AC22" s="59"/>
      <c r="AD22" s="90"/>
      <c r="AE22" s="90"/>
      <c r="AF22" s="90"/>
      <c r="AG22" s="90"/>
      <c r="AH22" s="90"/>
      <c r="AI22" s="90"/>
      <c r="AJ22" s="90"/>
      <c r="AK22" s="90"/>
      <c r="AL22" s="90"/>
      <c r="AM22" s="90"/>
      <c r="AN22" s="90"/>
      <c r="AO22" s="90"/>
      <c r="AP22" s="65"/>
      <c r="AQ22" s="65"/>
      <c r="AR22" s="18"/>
      <c r="AS22" s="14"/>
    </row>
    <row r="23">
      <c r="A23" s="13"/>
      <c r="B23" s="125" t="s">
        <v>94</v>
      </c>
      <c r="C23" s="16" t="s">
        <v>95</v>
      </c>
      <c r="H23" s="54"/>
      <c r="I23" s="54"/>
      <c r="J23" s="54"/>
      <c r="K23" s="54"/>
      <c r="L23" s="114"/>
      <c r="M23" s="71"/>
      <c r="N23" s="57"/>
      <c r="O23" s="57"/>
      <c r="P23" s="57"/>
      <c r="Q23" s="57"/>
      <c r="R23" s="57"/>
      <c r="S23" s="57"/>
      <c r="T23" s="57"/>
      <c r="U23" s="57"/>
      <c r="V23" s="57"/>
      <c r="W23" s="57"/>
      <c r="X23" s="58"/>
      <c r="Y23" s="18"/>
      <c r="Z23" s="45"/>
      <c r="AA23" s="46"/>
      <c r="AB23" s="46"/>
      <c r="AC23" s="45"/>
      <c r="AD23" s="46"/>
      <c r="AE23" s="46"/>
      <c r="AF23" s="46"/>
      <c r="AG23" s="46"/>
      <c r="AH23" s="46"/>
      <c r="AI23" s="46"/>
      <c r="AJ23" s="46"/>
      <c r="AK23" s="46"/>
      <c r="AL23" s="46"/>
      <c r="AM23" s="46"/>
      <c r="AN23" s="46"/>
      <c r="AO23" s="46"/>
      <c r="AP23" s="47"/>
      <c r="AQ23" s="112"/>
      <c r="AR23" s="126"/>
      <c r="AS23" s="14"/>
    </row>
    <row r="24">
      <c r="A24" s="13"/>
      <c r="B24" s="15"/>
      <c r="C24" s="127" t="s">
        <v>96</v>
      </c>
      <c r="D24" s="127" t="s">
        <v>97</v>
      </c>
      <c r="E24" s="127" t="s">
        <v>98</v>
      </c>
      <c r="F24" s="42" t="s">
        <v>99</v>
      </c>
      <c r="G24" s="42" t="s">
        <v>11</v>
      </c>
      <c r="H24" s="18"/>
      <c r="I24" s="18"/>
      <c r="J24" s="18"/>
      <c r="K24" s="54"/>
      <c r="L24" s="116"/>
      <c r="M24" s="56"/>
      <c r="N24" s="57"/>
      <c r="O24" s="57"/>
      <c r="P24" s="57"/>
      <c r="Q24" s="57"/>
      <c r="R24" s="57"/>
      <c r="S24" s="57"/>
      <c r="T24" s="57"/>
      <c r="U24" s="57"/>
      <c r="V24" s="57"/>
      <c r="W24" s="57"/>
      <c r="X24" s="58"/>
      <c r="Y24" s="18"/>
      <c r="Z24" s="59"/>
      <c r="AA24" s="90"/>
      <c r="AB24" s="90"/>
      <c r="AC24" s="59"/>
      <c r="AD24" s="90"/>
      <c r="AE24" s="90"/>
      <c r="AF24" s="90"/>
      <c r="AG24" s="90"/>
      <c r="AH24" s="90"/>
      <c r="AI24" s="90"/>
      <c r="AJ24" s="90"/>
      <c r="AK24" s="90"/>
      <c r="AL24" s="90"/>
      <c r="AM24" s="90"/>
      <c r="AN24" s="90"/>
      <c r="AO24" s="90"/>
      <c r="AP24" s="65"/>
      <c r="AQ24" s="65"/>
      <c r="AR24" s="126"/>
      <c r="AS24" s="104"/>
    </row>
    <row r="25">
      <c r="A25" s="13"/>
      <c r="B25" s="15"/>
      <c r="C25" s="129">
        <f>AG88+Q304+Q302+Q298+Q300+C26</f>
        <v>10</v>
      </c>
      <c r="D25" s="129">
        <f>AH88+Q304+Q302+Q300+Q298+D26</f>
        <v>10</v>
      </c>
      <c r="E25" s="132">
        <f>IF(D2="Mechanoid","Immune",AI88+E26)</f>
        <v>10</v>
      </c>
      <c r="F25" s="133">
        <f>2+VLOOKUP(P3,'Race Modification'!C2:BO55,38,FALSE)+F26</f>
        <v>2</v>
      </c>
      <c r="G25" s="133">
        <f>M61+G26</f>
        <v>0</v>
      </c>
      <c r="H25" s="18"/>
      <c r="I25" s="18"/>
      <c r="J25" s="18"/>
      <c r="K25" s="18"/>
      <c r="L25" s="16"/>
      <c r="U25" s="18"/>
      <c r="V25" s="18"/>
      <c r="W25" s="18"/>
      <c r="X25" s="16" t="s">
        <v>100</v>
      </c>
      <c r="AD25" s="135">
        <f t="shared" ref="AD25:AO25" si="5">SUM(AD5:AD24)</f>
        <v>0</v>
      </c>
      <c r="AE25" s="135">
        <f t="shared" si="5"/>
        <v>0</v>
      </c>
      <c r="AF25" s="135">
        <f t="shared" si="5"/>
        <v>0</v>
      </c>
      <c r="AG25" s="135">
        <f t="shared" si="5"/>
        <v>0</v>
      </c>
      <c r="AH25" s="135">
        <f t="shared" si="5"/>
        <v>0</v>
      </c>
      <c r="AI25" s="135">
        <f t="shared" si="5"/>
        <v>0</v>
      </c>
      <c r="AJ25" s="135">
        <f t="shared" si="5"/>
        <v>0</v>
      </c>
      <c r="AK25" s="135">
        <f t="shared" si="5"/>
        <v>0</v>
      </c>
      <c r="AL25" s="135">
        <f t="shared" si="5"/>
        <v>0</v>
      </c>
      <c r="AM25" s="135">
        <f t="shared" si="5"/>
        <v>0</v>
      </c>
      <c r="AN25" s="135">
        <f t="shared" si="5"/>
        <v>0</v>
      </c>
      <c r="AO25" s="135">
        <f t="shared" si="5"/>
        <v>0</v>
      </c>
      <c r="AP25" s="137" t="str">
        <f>G6</f>
        <v>Select Skill</v>
      </c>
      <c r="AQ25" s="137"/>
      <c r="AR25" s="126"/>
      <c r="AS25" s="104"/>
    </row>
    <row r="26">
      <c r="A26" s="13"/>
      <c r="B26" s="138">
        <f>IF(B23="N",((AF35+AH33+AQ58)*4)+B21,IF(B23="C",(((AF35+AH33+AQ58+AG35)*4)+B21),((AF35+AH33+AQ58)*4)+B21))</f>
        <v>16</v>
      </c>
      <c r="C26" s="139"/>
      <c r="D26" s="139"/>
      <c r="E26" s="140"/>
      <c r="F26" s="140"/>
      <c r="G26" s="140"/>
      <c r="H26" s="18"/>
      <c r="I26" s="141" t="s">
        <v>101</v>
      </c>
      <c r="L26" s="142" t="s">
        <v>102</v>
      </c>
      <c r="M26" s="141" t="s">
        <v>103</v>
      </c>
      <c r="N26" s="25" t="s">
        <v>104</v>
      </c>
      <c r="O26" s="141" t="s">
        <v>105</v>
      </c>
      <c r="Q26" s="25">
        <v>2.0</v>
      </c>
      <c r="R26" s="143" t="s">
        <v>106</v>
      </c>
      <c r="S26" s="25" t="s">
        <v>107</v>
      </c>
      <c r="T26" s="141" t="s">
        <v>108</v>
      </c>
      <c r="U26" s="25"/>
      <c r="W26" s="18"/>
      <c r="X26" s="41" t="s">
        <v>109</v>
      </c>
      <c r="Y26" s="41" t="s">
        <v>78</v>
      </c>
      <c r="Z26" s="41" t="s">
        <v>110</v>
      </c>
      <c r="AA26" s="41" t="s">
        <v>111</v>
      </c>
      <c r="AB26" s="41" t="s">
        <v>78</v>
      </c>
      <c r="AC26" s="41" t="s">
        <v>110</v>
      </c>
      <c r="AD26" s="135">
        <f>SUM(AB5:AB24)</f>
        <v>0</v>
      </c>
      <c r="AE26" s="77"/>
      <c r="AI26" s="126"/>
      <c r="AJ26" s="126"/>
      <c r="AM26" s="126"/>
      <c r="AN26" s="126"/>
      <c r="AO26" s="144"/>
      <c r="AP26" s="73"/>
      <c r="AQ26" s="77"/>
      <c r="AR26" s="145"/>
      <c r="AS26" s="104"/>
    </row>
    <row r="27">
      <c r="A27" s="13"/>
      <c r="B27" s="120">
        <f>IF((AI33+AD36)&lt;0,0,AI33+AD36)</f>
        <v>2</v>
      </c>
      <c r="C27" s="146" t="s">
        <v>112</v>
      </c>
      <c r="D27" s="146" t="s">
        <v>113</v>
      </c>
      <c r="E27" s="66" t="s">
        <v>114</v>
      </c>
      <c r="F27" s="66" t="s">
        <v>115</v>
      </c>
      <c r="G27" s="42" t="s">
        <v>116</v>
      </c>
      <c r="H27" s="18"/>
      <c r="I27" s="147" t="s">
        <v>117</v>
      </c>
      <c r="P27" s="148"/>
      <c r="Q27" s="147" t="s">
        <v>118</v>
      </c>
      <c r="W27" s="18"/>
      <c r="X27" s="149" t="str">
        <f>IFERROR(__xludf.DUMMYFUNCTION("UNIQUE(transpose(split(arrayformula(concatenate(AP5:AQ27&amp;"","")),"","")))"),"Select Skill")</f>
        <v>Select Skill</v>
      </c>
      <c r="Y27" s="151">
        <f>IF(ISBLANK(X27),"",COUNTIF($AP$5:$AQ$27,X27))</f>
        <v>1</v>
      </c>
      <c r="Z27" s="152" t="str">
        <f t="shared" ref="Z27:Z49" si="6">IF(Y27&lt;1,"0d6",IF(Y27&lt;3,"1d6",IF(Y27&lt;6,"2d6",IF(Y27&lt;10,"3d6",IF(Y27&lt;15,"4d6",IF(Y27&lt;21,"5d6",IF(Y27&lt;28,"6d6",IF(Y27&lt;36,"7d6","0d6"))))))))</f>
        <v>1d6</v>
      </c>
      <c r="AA27" s="41" t="s">
        <v>112</v>
      </c>
      <c r="AB27" s="153"/>
      <c r="AC27" s="152"/>
      <c r="AD27" s="18"/>
      <c r="AE27" s="77"/>
      <c r="AI27" s="126"/>
      <c r="AJ27" s="77"/>
      <c r="AN27" s="126"/>
      <c r="AO27" s="144"/>
      <c r="AP27" s="77"/>
      <c r="AQ27" s="77"/>
      <c r="AR27" s="145"/>
      <c r="AS27" s="104"/>
    </row>
    <row r="28">
      <c r="A28" s="13"/>
      <c r="B28" s="120">
        <f>IF(B23="N",((AG33+AH33+AD28)*4)+B22,IF(B23="C",(((AG33+AH33+AD28+AG35)*4)+B22),((AG33+AH33+AD28)*4)+B22))</f>
        <v>16</v>
      </c>
      <c r="C28" s="156">
        <f>IF(B28&lt;0,0,B28)</f>
        <v>16</v>
      </c>
      <c r="D28" s="157">
        <f>IF(B26&lt;10,10,B26)</f>
        <v>16</v>
      </c>
      <c r="E28" s="158">
        <f>B30</f>
        <v>4</v>
      </c>
      <c r="F28" s="158">
        <f>IF(M3="Nimble",E28+F29+VLOOKUP(P3,'Race Modification'!C2:BP55,31,FALSE),IF(F29="Equal",E28,B31+F29))</f>
        <v>2</v>
      </c>
      <c r="G28" s="160">
        <f>IF(G29="Equal",E28,B32+G29)</f>
        <v>2</v>
      </c>
      <c r="H28" s="18"/>
      <c r="I28" s="161" t="s">
        <v>119</v>
      </c>
      <c r="L28" s="162" t="s">
        <v>120</v>
      </c>
      <c r="P28" s="148"/>
      <c r="Q28" s="163"/>
      <c r="W28" s="18"/>
      <c r="X28" s="149"/>
      <c r="Y28" s="151">
        <f t="shared" ref="Y28:Y44" si="7">COUNTIF($AP$5:$AQ$27,X28)</f>
        <v>0</v>
      </c>
      <c r="Z28" s="152" t="str">
        <f t="shared" si="6"/>
        <v>0d6</v>
      </c>
      <c r="AA28" s="164" t="str">
        <f>IF(ISNA(VLOOKUP("Hardy",X27:Y50,1,FALSE)),"-",VLOOKUP("Hardy",X27:Y50,1,FALSE))</f>
        <v>-</v>
      </c>
      <c r="AB28" s="18">
        <f>IF(ISNA(VLOOKUP("Hardy",X27:Y50,2,FALSE)),0,VLOOKUP("Hardy",X27:Y50,2,FALSE))</f>
        <v>0</v>
      </c>
      <c r="AC28" s="152" t="str">
        <f>IF(AB28&lt;1,"0d6",IF(AB28&lt;3,"1d6",IF(AB28&lt;6,"2d6",IF(AB28&lt;10,"3d6",IF(AB28&lt;15,"4d6",IF(AB28&lt;21,"5d6",IF(AB28&lt;28,"6d6",IF(AB28&lt;36,"7d6","0d6"))))))))</f>
        <v>0d6</v>
      </c>
      <c r="AD28" s="138">
        <f>IF(AB28&lt;1,0,IF(AB28&lt;3,1,IF(AB28&lt;6,2,IF(AB28&lt;10,3,IF(AB28&lt;15,4,IF(AB28&lt;21,5,IF(AB28&lt;28,6,IF(AB28&lt;36,7,0))))))))</f>
        <v>0</v>
      </c>
      <c r="AE28" s="164" t="s">
        <v>121</v>
      </c>
      <c r="AI28" s="126"/>
      <c r="AJ28" s="165" t="s">
        <v>122</v>
      </c>
      <c r="AN28" s="126"/>
      <c r="AO28" s="144"/>
      <c r="AP28" s="144" t="s">
        <v>123</v>
      </c>
      <c r="AR28" s="145"/>
      <c r="AS28" s="104"/>
    </row>
    <row r="29">
      <c r="A29" s="13"/>
      <c r="B29" s="120">
        <f>IF(AO31&lt;0,0,AO31)</f>
        <v>2</v>
      </c>
      <c r="C29" s="166">
        <v>16.0</v>
      </c>
      <c r="D29" s="167">
        <v>16.0</v>
      </c>
      <c r="E29" s="168"/>
      <c r="F29" s="168"/>
      <c r="G29" s="169"/>
      <c r="H29" s="18"/>
      <c r="I29" s="170" t="s">
        <v>124</v>
      </c>
      <c r="L29" s="171" t="s">
        <v>120</v>
      </c>
      <c r="P29" s="148"/>
      <c r="W29" s="18"/>
      <c r="X29" s="149"/>
      <c r="Y29" s="151">
        <f t="shared" si="7"/>
        <v>0</v>
      </c>
      <c r="Z29" s="152" t="str">
        <f t="shared" si="6"/>
        <v>0d6</v>
      </c>
      <c r="AA29" s="41" t="s">
        <v>114</v>
      </c>
      <c r="AB29" s="153"/>
      <c r="AC29" s="152"/>
      <c r="AD29" s="138"/>
      <c r="AE29" s="172"/>
      <c r="AF29" s="173"/>
      <c r="AG29" s="173"/>
      <c r="AH29" s="174"/>
      <c r="AI29" s="172"/>
      <c r="AJ29" s="172"/>
      <c r="AK29" s="172"/>
      <c r="AL29" s="172"/>
      <c r="AM29" s="175"/>
      <c r="AN29" s="176"/>
      <c r="AO29" s="177"/>
      <c r="AP29" s="172"/>
      <c r="AQ29" s="172"/>
      <c r="AR29" s="145"/>
      <c r="AS29" s="104"/>
    </row>
    <row r="30">
      <c r="A30" s="13"/>
      <c r="B30" s="178">
        <f>IF(AND(P3="Solurial",AG30&lt;2),2,IF(AG30&lt;0,0,AG30))</f>
        <v>4</v>
      </c>
      <c r="C30" s="66" t="s">
        <v>125</v>
      </c>
      <c r="D30" s="179" t="s">
        <v>126</v>
      </c>
      <c r="E30" s="179" t="s">
        <v>127</v>
      </c>
      <c r="F30" s="179" t="s">
        <v>128</v>
      </c>
      <c r="G30" s="86" t="s">
        <v>129</v>
      </c>
      <c r="H30" s="18"/>
      <c r="I30" s="161" t="s">
        <v>130</v>
      </c>
      <c r="L30" s="162" t="s">
        <v>120</v>
      </c>
      <c r="P30" s="148"/>
      <c r="W30" s="18"/>
      <c r="X30" s="149"/>
      <c r="Y30" s="151">
        <f t="shared" si="7"/>
        <v>0</v>
      </c>
      <c r="Z30" s="152" t="str">
        <f t="shared" si="6"/>
        <v>0d6</v>
      </c>
      <c r="AA30" s="164" t="str">
        <f>IF(ISNA(VLOOKUP("Running",X27:Y50,1,FALSE)),"-",VLOOKUP("Running",X27:Y50,1,FALSE))</f>
        <v>-</v>
      </c>
      <c r="AB30" s="18">
        <f>IF(ISNA(VLOOKUP("Running",X27:Y50,2,FALSE)),0,VLOOKUP("Running",X27:Y50,2,FALSE))</f>
        <v>0</v>
      </c>
      <c r="AC30" s="152" t="str">
        <f t="shared" ref="AC30:AC34" si="8">IF(AB30&lt;1,"0d6",IF(AB30&lt;3,"1d6",IF(AB30&lt;6,"2d6",IF(AB30&lt;10,"3d6",IF(AB30&lt;15,"4d6",IF(AB30&lt;21,"5d6",IF(AB30&lt;28,"6d6",IF(AB30&lt;36,"7d6","0d6"))))))))</f>
        <v>0d6</v>
      </c>
      <c r="AD30" s="138">
        <f t="shared" ref="AD30:AD34" si="9">IF(AB30&lt;1,0,IF(AB30&lt;3,1,IF(AB30&lt;6,2,IF(AB30&lt;10,3,IF(AB30&lt;15,4,IF(AB30&lt;21,5,IF(AB30&lt;28,6,IF(AB30&lt;36,7,0))))))))</f>
        <v>0</v>
      </c>
      <c r="AE30" s="180">
        <f>AE33+AF33+AD30+E29+AK97</f>
        <v>4</v>
      </c>
      <c r="AF30" s="180">
        <f>AE30+AF31</f>
        <v>4</v>
      </c>
      <c r="AG30" s="180">
        <f>IF(J3="Small",AF30-1,AF30)</f>
        <v>4</v>
      </c>
      <c r="AH30" s="175" t="s">
        <v>131</v>
      </c>
      <c r="AI30" s="175" t="s">
        <v>132</v>
      </c>
      <c r="AJ30" s="175" t="s">
        <v>133</v>
      </c>
      <c r="AK30" s="175" t="s">
        <v>134</v>
      </c>
      <c r="AL30" s="175" t="s">
        <v>135</v>
      </c>
      <c r="AM30" s="175" t="s">
        <v>136</v>
      </c>
      <c r="AN30" s="175" t="s">
        <v>137</v>
      </c>
      <c r="AO30" s="172">
        <f>MAX(AQ48,AQ49,AQ52,AQ55)</f>
        <v>0</v>
      </c>
      <c r="AP30" s="175" t="s">
        <v>138</v>
      </c>
      <c r="AQ30" s="172">
        <f>IF(E172="Light",AQ33,IF(E172="Medium",AQ33-2,IF(E172="Heavy",AQ33-4,AQ33)))</f>
        <v>10</v>
      </c>
      <c r="AR30" s="145"/>
      <c r="AS30" s="104"/>
    </row>
    <row r="31">
      <c r="A31" s="13"/>
      <c r="B31" s="178">
        <f>IF(AJ31&lt;0,0,AJ31)</f>
        <v>2</v>
      </c>
      <c r="C31" s="181" t="str">
        <f>CONCATENATE(AK33+C32,"'/",AL33+C32,"'")</f>
        <v>6'/3'</v>
      </c>
      <c r="D31" s="181" t="str">
        <f>CONCATENATE(AJ36+D32,"lb ","(",(AJ36+D32)*2.5,"lb)")</f>
        <v>60lb (150lb)</v>
      </c>
      <c r="E31" s="184">
        <f>IF(E32="Equal",E28,B33+E32)</f>
        <v>2</v>
      </c>
      <c r="F31" s="184">
        <f>IF(F32="Equal",E28,B34+F32)</f>
        <v>2</v>
      </c>
      <c r="G31" s="185">
        <f>IF(G32="Equal",E28,B35+G32)</f>
        <v>2</v>
      </c>
      <c r="H31" s="18"/>
      <c r="I31" s="170" t="s">
        <v>140</v>
      </c>
      <c r="L31" s="171" t="s">
        <v>120</v>
      </c>
      <c r="P31" s="148"/>
      <c r="Q31" s="163"/>
      <c r="W31" s="18"/>
      <c r="X31" s="149"/>
      <c r="Y31" s="151">
        <f t="shared" si="7"/>
        <v>0</v>
      </c>
      <c r="Z31" s="152" t="str">
        <f t="shared" si="6"/>
        <v>0d6</v>
      </c>
      <c r="AA31" s="164" t="str">
        <f>IF(ISNA(VLOOKUP("Climbing",X27:Y50,1,FALSE)),"-",VLOOKUP("Climbing",X27:Y50,1,FALSE))</f>
        <v>-</v>
      </c>
      <c r="AB31" s="164">
        <f>IF(ISNA(VLOOKUP("Climbing",X27:Y50,2,FALSE)),0,VLOOKUP("Climbing",X27:Y50,2,FALSE))</f>
        <v>0</v>
      </c>
      <c r="AC31" s="152" t="str">
        <f t="shared" si="8"/>
        <v>0d6</v>
      </c>
      <c r="AD31" s="138">
        <f t="shared" si="9"/>
        <v>0</v>
      </c>
      <c r="AE31" s="173"/>
      <c r="AF31" s="172" t="str">
        <f>VLOOKUP(P3,'Race Modification'!C2:AL55,30,FALSE)</f>
        <v/>
      </c>
      <c r="AG31" s="190">
        <f>IF(J3="Small",AH31-1,AH31)</f>
        <v>4</v>
      </c>
      <c r="AH31" s="172">
        <f>AI31+AF31</f>
        <v>4</v>
      </c>
      <c r="AI31" s="172">
        <f>AE33+AF33+E29+AK97</f>
        <v>4</v>
      </c>
      <c r="AJ31" s="180">
        <f>IF(VLOOKUP(P3,'Race Modification'!C2:BP55,31,FALSE)="Equal",(AG31+AD31), (AG31+AD31+VLOOKUP(P3,'Race Modification'!C2:BP55,31,FALSE))/2)</f>
        <v>2</v>
      </c>
      <c r="AK31" s="176">
        <f>IF(VLOOKUP(P3,'Race Modification'!C2:BP55,32,FALSE)="Equal",(AG31+AD32), (AG31+AD32+VLOOKUP(P3,'Race Modification'!C2:BP55,32,FALSE))/2)</f>
        <v>2</v>
      </c>
      <c r="AL31" s="180">
        <f>IF(VLOOKUP(P3,'Race Modification'!C2:BP55,35,FALSE)="Equal",(AG31+AD44), (AG31+AD44+VLOOKUP(P3,'Race Modification'!C2:BP55,35,FALSE))/2)</f>
        <v>2</v>
      </c>
      <c r="AM31" s="176">
        <f>IF(VLOOKUP(P3,'Race Modification'!C2:BP55,33,FALSE)="Equal",(AG31+AD46), (AG31+AD46+VLOOKUP(P3,'Race Modification'!C2:BP55,33,FALSE))/2)</f>
        <v>2</v>
      </c>
      <c r="AN31" s="180">
        <f>IF(VLOOKUP(P3,'Race Modification'!C2:BP55,36,FALSE)="Equal",(AG31+AD48), (AG31+AD48+VLOOKUP(P3,'Race Modification'!C2:BP55,36,FALSE))/2)</f>
        <v>2</v>
      </c>
      <c r="AO31" s="172">
        <f>AO35+AO30</f>
        <v>2</v>
      </c>
      <c r="AP31" s="175" t="s">
        <v>177</v>
      </c>
      <c r="AQ31" s="172">
        <f>IF(E172="Light",AQ34,IF(E172="Medium",AQ34-2,IF(E172="Heavy",AQ34-4,AQ34)))</f>
        <v>10</v>
      </c>
      <c r="AR31" s="145"/>
      <c r="AS31" s="104"/>
    </row>
    <row r="32">
      <c r="A32" s="13"/>
      <c r="B32" s="178">
        <f>IF(AK31&lt;0,0,AK31)</f>
        <v>2</v>
      </c>
      <c r="C32" s="45"/>
      <c r="D32" s="45"/>
      <c r="E32" s="46"/>
      <c r="F32" s="46"/>
      <c r="G32" s="45"/>
      <c r="H32" s="18"/>
      <c r="I32" s="161" t="s">
        <v>180</v>
      </c>
      <c r="L32" s="162" t="s">
        <v>120</v>
      </c>
      <c r="P32" s="194" t="s">
        <v>26</v>
      </c>
      <c r="W32" s="18"/>
      <c r="X32" s="149"/>
      <c r="Y32" s="151">
        <f t="shared" si="7"/>
        <v>0</v>
      </c>
      <c r="Z32" s="152" t="str">
        <f t="shared" si="6"/>
        <v>0d6</v>
      </c>
      <c r="AA32" s="164" t="str">
        <f>IF(ISNA(VLOOKUP("Swimming",X27:Y50,1,FALSE)),"-",VLOOKUP("Swimming",X27:Y50,1,FALSE))</f>
        <v>-</v>
      </c>
      <c r="AB32" s="18">
        <f>IF(ISNA(VLOOKUP("Swimming",X27:Y50,2,FALSE)),0,VLOOKUP("Swimming",X27:Y50,2,FALSE))</f>
        <v>0</v>
      </c>
      <c r="AC32" s="152" t="str">
        <f t="shared" si="8"/>
        <v>0d6</v>
      </c>
      <c r="AD32" s="138">
        <f t="shared" si="9"/>
        <v>0</v>
      </c>
      <c r="AE32" s="172" t="s">
        <v>188</v>
      </c>
      <c r="AF32" s="172" t="s">
        <v>189</v>
      </c>
      <c r="AG32" s="172" t="s">
        <v>190</v>
      </c>
      <c r="AH32" s="172" t="s">
        <v>191</v>
      </c>
      <c r="AI32" s="172" t="s">
        <v>192</v>
      </c>
      <c r="AJ32" s="175" t="s">
        <v>193</v>
      </c>
      <c r="AK32" s="173"/>
      <c r="AL32" s="172"/>
      <c r="AM32" s="172"/>
      <c r="AN32" s="175" t="s">
        <v>188</v>
      </c>
      <c r="AO32" s="172">
        <f>AE33</f>
        <v>2</v>
      </c>
      <c r="AP32" s="175" t="s">
        <v>194</v>
      </c>
      <c r="AQ32" s="177">
        <f>IF(P3="Orgron",AQ35+4,AQ35)</f>
        <v>10</v>
      </c>
      <c r="AR32" s="145"/>
      <c r="AS32" s="104"/>
    </row>
    <row r="33">
      <c r="A33" s="13"/>
      <c r="B33" s="178">
        <f>IF(AM31&lt;0,0,AM31)</f>
        <v>2</v>
      </c>
      <c r="C33" s="179" t="s">
        <v>155</v>
      </c>
      <c r="D33" s="196" t="str">
        <f>CONCATENATE(B27+E33+VLOOKUP(P3,'Race Modification'!C2:BO55,40,FALSE),"d6")</f>
        <v>2d6</v>
      </c>
      <c r="E33" s="197"/>
      <c r="F33" s="86" t="s">
        <v>154</v>
      </c>
      <c r="G33" s="198" t="str">
        <f>IF(ISNA(VLOOKUP("Perception",AO105:AQ105,3,FALSE)+AI33+VLOOKUP(P3,'Race Modification'!C2:BO55,40,FALSE)&amp;"d6"),"-",VLOOKUP("Perception",AO105:AQ105,3,FALSE)+AI33+VLOOKUP(P3,'Race Modification'!C2:BO55,40,FALSE)&amp;"d6")</f>
        <v>-</v>
      </c>
      <c r="H33" s="18"/>
      <c r="I33" s="170" t="s">
        <v>5</v>
      </c>
      <c r="L33" s="171" t="s">
        <v>120</v>
      </c>
      <c r="P33" s="148"/>
      <c r="Q33" s="163"/>
      <c r="W33" s="18"/>
      <c r="X33" s="149"/>
      <c r="Y33" s="151">
        <f t="shared" si="7"/>
        <v>0</v>
      </c>
      <c r="Z33" s="152" t="str">
        <f t="shared" si="6"/>
        <v>0d6</v>
      </c>
      <c r="AA33" s="164" t="str">
        <f>IF(ISNA(VLOOKUP("Jumping",X27:Y50,1,FALSE)),"-",VLOOKUP("Jumping",X27:Y50,1,FALSE))</f>
        <v>-</v>
      </c>
      <c r="AB33" s="18">
        <f>IF(ISNA(VLOOKUP("Jumping",X27:Y50,2,FALSE)),0,VLOOKUP("Jumping",X27:Y50,2,FALSE))</f>
        <v>0</v>
      </c>
      <c r="AC33" s="152" t="str">
        <f t="shared" si="8"/>
        <v>0d6</v>
      </c>
      <c r="AD33" s="138">
        <f t="shared" si="9"/>
        <v>0</v>
      </c>
      <c r="AE33" s="172">
        <f t="shared" ref="AE33:AI33" si="10">IF(AE41&lt;=0,1,AE41)</f>
        <v>2</v>
      </c>
      <c r="AF33" s="172">
        <f t="shared" si="10"/>
        <v>2</v>
      </c>
      <c r="AG33" s="172">
        <f t="shared" si="10"/>
        <v>2</v>
      </c>
      <c r="AH33" s="172">
        <f t="shared" si="10"/>
        <v>2</v>
      </c>
      <c r="AI33" s="172">
        <f t="shared" si="10"/>
        <v>2</v>
      </c>
      <c r="AJ33" s="172">
        <f>MAX(AI33,AF33)</f>
        <v>2</v>
      </c>
      <c r="AK33" s="172">
        <f>AK34+AM33</f>
        <v>6</v>
      </c>
      <c r="AL33" s="172">
        <f>AL34+AM34</f>
        <v>3</v>
      </c>
      <c r="AM33" s="175" t="str">
        <f>VLOOKUP(P3,'Race Modification'!C2:AL55,21,FALSE)</f>
        <v/>
      </c>
      <c r="AN33" s="175" t="s">
        <v>189</v>
      </c>
      <c r="AO33" s="172">
        <f>AF33</f>
        <v>2</v>
      </c>
      <c r="AP33" s="175" t="s">
        <v>138</v>
      </c>
      <c r="AQ33" s="172">
        <f>IF(B174="Small",AQ36+2,IF(B174="Medium",AQ36+4,IF(B174="Large",AQ36+6,AQ36)))</f>
        <v>10</v>
      </c>
      <c r="AR33" s="145"/>
      <c r="AS33" s="104"/>
    </row>
    <row r="34">
      <c r="A34" s="13"/>
      <c r="B34" s="178">
        <f>IF(AL31&lt;0,0,AL31)</f>
        <v>2</v>
      </c>
      <c r="C34" s="39" t="s">
        <v>212</v>
      </c>
      <c r="H34" s="18"/>
      <c r="I34" s="161" t="s">
        <v>213</v>
      </c>
      <c r="L34" s="162" t="s">
        <v>120</v>
      </c>
      <c r="P34" s="148"/>
      <c r="W34" s="18"/>
      <c r="X34" s="149"/>
      <c r="Y34" s="151">
        <f t="shared" si="7"/>
        <v>0</v>
      </c>
      <c r="Z34" s="152" t="str">
        <f t="shared" si="6"/>
        <v>0d6</v>
      </c>
      <c r="AA34" s="18" t="str">
        <f>IF(ISNA(VLOOKUP("Carrying",X27:Y50,1,FALSE)),"-",VLOOKUP("Carrying",X27:Y50,1,FALSE))</f>
        <v>-</v>
      </c>
      <c r="AB34" s="18">
        <f>IF(ISNA(VLOOKUP("Carrying",X27:Y50,2,FALSE)),0,VLOOKUP("Carrying",X27:Y50,2,FALSE))</f>
        <v>0</v>
      </c>
      <c r="AC34" s="152" t="str">
        <f t="shared" si="8"/>
        <v>0d6</v>
      </c>
      <c r="AD34" s="138">
        <f t="shared" si="9"/>
        <v>0</v>
      </c>
      <c r="AE34" s="172" t="s">
        <v>222</v>
      </c>
      <c r="AF34" s="172" t="s">
        <v>223</v>
      </c>
      <c r="AG34" s="172" t="s">
        <v>224</v>
      </c>
      <c r="AH34" s="172" t="s">
        <v>225</v>
      </c>
      <c r="AI34" s="172" t="s">
        <v>226</v>
      </c>
      <c r="AJ34" s="172">
        <f>AF33</f>
        <v>2</v>
      </c>
      <c r="AK34" s="172">
        <f>D13*2+AD33</f>
        <v>6</v>
      </c>
      <c r="AL34" s="172">
        <f>C13+AD33</f>
        <v>3</v>
      </c>
      <c r="AM34" s="172" t="str">
        <f>VLOOKUP(P3,'Race Modification'!C2:AL55,22,FALSE)</f>
        <v/>
      </c>
      <c r="AN34" s="172"/>
      <c r="AO34" s="172"/>
      <c r="AP34" s="175" t="s">
        <v>177</v>
      </c>
      <c r="AQ34" s="172">
        <f>IF(B174="Small",AQ37+2,IF(B174="Medium",AQ37+4,IF(B174="Large",AQ37+6,AQ37)))</f>
        <v>10</v>
      </c>
      <c r="AR34" s="145"/>
      <c r="AS34" s="104"/>
    </row>
    <row r="35">
      <c r="A35" s="13"/>
      <c r="B35" s="178">
        <f>IF(AN31&lt;0,0,AN31)</f>
        <v>2</v>
      </c>
      <c r="C35" s="200" t="str">
        <f>IFERROR(__xludf.DUMMYFUNCTION("IF(ISNA(FILTER(E338:E347,E338:E347&lt;&gt;"""")),"""",FILTER(E338:E347,E338:E347&lt;&gt;""""))"),"Unarmed 2d6 (0d6+2 Unarmed damage; range 1)")</f>
        <v>Unarmed 2d6 (0d6+2 Unarmed damage; range 1)</v>
      </c>
      <c r="H35" s="138" t="str">
        <f t="shared" ref="H35:H42" si="13">H329</f>
        <v>2</v>
      </c>
      <c r="I35" s="15"/>
      <c r="J35" s="201" t="s">
        <v>234</v>
      </c>
      <c r="O35" s="202" t="s">
        <v>235</v>
      </c>
      <c r="R35" s="203" t="s">
        <v>237</v>
      </c>
      <c r="V35" s="204"/>
      <c r="W35" s="18"/>
      <c r="X35" s="149"/>
      <c r="Y35" s="151">
        <f t="shared" si="7"/>
        <v>0</v>
      </c>
      <c r="Z35" s="152" t="str">
        <f t="shared" si="6"/>
        <v>0d6</v>
      </c>
      <c r="AA35" s="41" t="s">
        <v>155</v>
      </c>
      <c r="AB35" s="153"/>
      <c r="AC35" s="152"/>
      <c r="AD35" s="138"/>
      <c r="AE35" s="172">
        <f t="shared" ref="AE35:AG35" si="11">IF(AE42&lt;=0,1,AE42)</f>
        <v>2</v>
      </c>
      <c r="AF35" s="172">
        <f t="shared" si="11"/>
        <v>2</v>
      </c>
      <c r="AG35" s="172">
        <f t="shared" si="11"/>
        <v>2</v>
      </c>
      <c r="AH35" s="172">
        <f t="shared" ref="AH35:AI35" si="12">IF(AH42&lt;0,0,AH42)</f>
        <v>0</v>
      </c>
      <c r="AI35" s="172">
        <f t="shared" si="12"/>
        <v>0</v>
      </c>
      <c r="AJ35" s="175" t="s">
        <v>189</v>
      </c>
      <c r="AK35" s="173"/>
      <c r="AL35" s="175" t="s">
        <v>240</v>
      </c>
      <c r="AM35" s="175" t="s">
        <v>241</v>
      </c>
      <c r="AN35" s="172">
        <f>VLOOKUP(AO35,AH174:AI203,2)</f>
        <v>1</v>
      </c>
      <c r="AO35" s="172">
        <f>MAX(AO33,AO32)</f>
        <v>2</v>
      </c>
      <c r="AP35" s="175" t="s">
        <v>194</v>
      </c>
      <c r="AQ35" s="172">
        <f>IF(AQ38&lt;10,10,AQ38)</f>
        <v>10</v>
      </c>
      <c r="AR35" s="205"/>
      <c r="AS35" s="14"/>
    </row>
    <row r="36">
      <c r="A36" s="13"/>
      <c r="B36" s="207"/>
      <c r="C36" s="209"/>
      <c r="H36" s="138" t="str">
        <f t="shared" si="13"/>
        <v/>
      </c>
      <c r="I36" s="210" t="s">
        <v>2</v>
      </c>
      <c r="J36" s="210" t="s">
        <v>3</v>
      </c>
      <c r="M36" s="212" t="s">
        <v>243</v>
      </c>
      <c r="N36" s="210" t="s">
        <v>9</v>
      </c>
      <c r="O36" s="210" t="s">
        <v>14</v>
      </c>
      <c r="P36" s="213" t="str">
        <f>IF(P37="-",AB109&amp;"lb",CONCATENATE(AB110,"lb"))</f>
        <v>0lb</v>
      </c>
      <c r="Q36" s="210" t="s">
        <v>3</v>
      </c>
      <c r="R36" s="210" t="s">
        <v>20</v>
      </c>
      <c r="W36" s="18"/>
      <c r="X36" s="149"/>
      <c r="Y36" s="151">
        <f t="shared" si="7"/>
        <v>0</v>
      </c>
      <c r="Z36" s="152" t="str">
        <f t="shared" si="6"/>
        <v>0d6</v>
      </c>
      <c r="AA36" s="18" t="str">
        <f>AO73</f>
        <v/>
      </c>
      <c r="AB36" s="18">
        <f>AO74</f>
        <v>0</v>
      </c>
      <c r="AC36" s="152" t="str">
        <f>IF(AB36&lt;1,"0d6",IF(AB36&lt;3,"1d6",IF(AB36&lt;6,"2d6",IF(AB36&lt;10,"3d6",IF(AB36&lt;15,"4d6",IF(AB36&lt;21,"5d6",IF(AB36&lt;28,"6d6",IF(AB36&lt;36,"7d6","0d6"))))))))</f>
        <v>0d6</v>
      </c>
      <c r="AD36" s="138">
        <f>IF(AB36&lt;1,0,IF(AB36&lt;3,1,IF(AB36&lt;6,2,IF(AB36&lt;10,3,IF(AB36&lt;15,4,IF(AB36&lt;21,5,IF(AB36&lt;28,6,IF(AB36&lt;36,7,0))))))))</f>
        <v>0</v>
      </c>
      <c r="AE36" s="173"/>
      <c r="AF36" s="173"/>
      <c r="AG36" s="175" t="s">
        <v>248</v>
      </c>
      <c r="AH36" s="172"/>
      <c r="AI36" s="172">
        <f>(C13+E13+AB34)*10</f>
        <v>60</v>
      </c>
      <c r="AJ36" s="172">
        <f>AI36*AK36</f>
        <v>60</v>
      </c>
      <c r="AK36" s="172">
        <f>IF((VLOOKUP(P3,'Race Modification'!C2:BP55,44,FALSE)%)="",1,VLOOKUP(P3,'Race Modification'!C2:BP55,44,FALSE)%+1)</f>
        <v>1</v>
      </c>
      <c r="AL36" s="172">
        <f>IF(VLOOKUP(P3,'Race Modification'!C2:BP55,34,FALSE)="Equal",(AG31+AH50), (AG31+AH50+VLOOKUP(P3,'Race Modification'!C2:BP55,34,FALSE))/2)</f>
        <v>2</v>
      </c>
      <c r="AM36" s="175" t="s">
        <v>251</v>
      </c>
      <c r="AN36" s="172">
        <f>VLOOKUP(AO36,AH174:AI203,2)</f>
        <v>1</v>
      </c>
      <c r="AO36" s="172">
        <f>MAX(AI33,AH33,AE35)</f>
        <v>2</v>
      </c>
      <c r="AP36" s="175" t="s">
        <v>138</v>
      </c>
      <c r="AQ36" s="172">
        <f>IF(AQ40&lt;10,10,AQ40)</f>
        <v>10</v>
      </c>
      <c r="AR36" s="205"/>
      <c r="AS36" s="14"/>
    </row>
    <row r="37">
      <c r="A37" s="13"/>
      <c r="B37" s="207"/>
      <c r="C37" s="200"/>
      <c r="H37" s="138" t="str">
        <f t="shared" si="13"/>
        <v/>
      </c>
      <c r="I37" s="169">
        <v>0.0</v>
      </c>
      <c r="J37" s="169"/>
      <c r="M37" s="5" t="s">
        <v>24</v>
      </c>
      <c r="N37" s="169"/>
      <c r="O37" s="169"/>
      <c r="P37" s="214" t="s">
        <v>255</v>
      </c>
      <c r="Q37" s="215"/>
      <c r="R37" s="216"/>
      <c r="W37" s="18"/>
      <c r="X37" s="149"/>
      <c r="Y37" s="151">
        <f t="shared" si="7"/>
        <v>0</v>
      </c>
      <c r="Z37" s="152" t="str">
        <f t="shared" si="6"/>
        <v>0d6</v>
      </c>
      <c r="AA37" s="41" t="s">
        <v>149</v>
      </c>
      <c r="AB37" s="153"/>
      <c r="AC37" s="152"/>
      <c r="AD37" s="138"/>
      <c r="AE37" s="175" t="s">
        <v>259</v>
      </c>
      <c r="AF37" s="172"/>
      <c r="AG37" s="172">
        <f t="shared" ref="AG37:AG38" si="14">IF(AJ42&lt;0,0,AJ42)</f>
        <v>0</v>
      </c>
      <c r="AH37" s="172"/>
      <c r="AI37" s="172">
        <f>(AE33+AG33+AB34)*10</f>
        <v>40</v>
      </c>
      <c r="AJ37" s="175" t="s">
        <v>260</v>
      </c>
      <c r="AK37" s="172">
        <f>IF(U296="Ranged",MAX(AF33,AI33),IF(U296="Melee",MAX(AE33,AF33),0))</f>
        <v>0</v>
      </c>
      <c r="AL37" s="172"/>
      <c r="AM37" s="172"/>
      <c r="AN37" s="175" t="s">
        <v>262</v>
      </c>
      <c r="AO37" s="172" t="str">
        <f>VLOOKUP(P3,'Race Modification'!C2:AE55,29,FALSE)</f>
        <v/>
      </c>
      <c r="AP37" s="175" t="s">
        <v>177</v>
      </c>
      <c r="AQ37" s="172">
        <f>IF(AQ42&lt;10,10,AQ42)</f>
        <v>10</v>
      </c>
      <c r="AR37" s="217"/>
      <c r="AS37" s="218"/>
    </row>
    <row r="38">
      <c r="A38" s="13"/>
      <c r="B38" s="207"/>
      <c r="C38" s="209"/>
      <c r="H38" s="138" t="str">
        <f t="shared" si="13"/>
        <v/>
      </c>
      <c r="I38" s="219">
        <v>0.0</v>
      </c>
      <c r="J38" s="219"/>
      <c r="M38" s="9" t="s">
        <v>24</v>
      </c>
      <c r="N38" s="219"/>
      <c r="O38" s="219"/>
      <c r="P38" s="220"/>
      <c r="Q38" s="221"/>
      <c r="R38" s="222"/>
      <c r="W38" s="18"/>
      <c r="X38" s="149"/>
      <c r="Y38" s="151">
        <f t="shared" si="7"/>
        <v>0</v>
      </c>
      <c r="Z38" s="152" t="str">
        <f t="shared" si="6"/>
        <v>0d6</v>
      </c>
      <c r="AA38" s="18" t="str">
        <f>AO57</f>
        <v/>
      </c>
      <c r="AB38" s="18">
        <f>AN57</f>
        <v>0</v>
      </c>
      <c r="AC38" s="152" t="str">
        <f>IF(AB38&lt;1,"0d6",IF(AB38&lt;3,"1d6",IF(AB38&lt;6,"2d6",IF(AB38&lt;10,"3d6",IF(AB38&lt;15,"4d6",IF(AB38&lt;21,"5d6",IF(AB38&lt;28,"6d6",IF(AB38&lt;36,"7d6","0d6"))))))))</f>
        <v>0d6</v>
      </c>
      <c r="AD38" s="138">
        <f>IF(AB38&lt;1,0,IF(AB38&lt;3,1,IF(AB38&lt;6,2,IF(AB38&lt;10,3,IF(AB38&lt;15,4,IF(AB38&lt;21,5,IF(AB38&lt;28,6,IF(AB38&lt;36,7,0))))))))</f>
        <v>0</v>
      </c>
      <c r="AE38" s="175">
        <f>IF(J3="Small",1,IF(J3="Medium",1,IF(J3="Large",2,IF(J3="Enormous",3,0))))</f>
        <v>0</v>
      </c>
      <c r="AF38" s="172" t="str">
        <f>VLOOKUP(P3,'Race Modification'!C2:BP55,41,FALSE)</f>
        <v/>
      </c>
      <c r="AG38" s="223">
        <f t="shared" si="14"/>
        <v>0</v>
      </c>
      <c r="AH38" s="223"/>
      <c r="AI38" s="172"/>
      <c r="AJ38" s="175" t="s">
        <v>271</v>
      </c>
      <c r="AK38" s="172">
        <f>IF(U292="Ranged",MAX(AF33,AI33),IF(U292="Melee",MAX(AE33,AF33),0))</f>
        <v>0</v>
      </c>
      <c r="AL38" s="172"/>
      <c r="AM38" s="172"/>
      <c r="AN38" s="172">
        <f>AO36+AD42</f>
        <v>2</v>
      </c>
      <c r="AO38" s="172">
        <f>VLOOKUP(AN38,AC369:AD439,2,FALSE)+IF(AO37="Immune",0,AO37)</f>
        <v>7</v>
      </c>
      <c r="AP38" s="175" t="s">
        <v>194</v>
      </c>
      <c r="AQ38" s="172">
        <f>IF(J3="Tiny",AO38+8,IF(J3="Small",AO38+4,IF(J3="Medium",AO38,IF(J3="Large",AO38-4,IF(J3="Enormous",AO38-8,AO38)))))</f>
        <v>7</v>
      </c>
      <c r="AR38" s="217"/>
      <c r="AS38" s="218"/>
    </row>
    <row r="39">
      <c r="A39" s="13"/>
      <c r="B39" s="207"/>
      <c r="C39" s="200"/>
      <c r="H39" s="138" t="str">
        <f t="shared" si="13"/>
        <v/>
      </c>
      <c r="I39" s="169">
        <v>0.0</v>
      </c>
      <c r="J39" s="169"/>
      <c r="M39" s="5" t="s">
        <v>24</v>
      </c>
      <c r="N39" s="169"/>
      <c r="O39" s="169"/>
      <c r="P39" s="220"/>
      <c r="Q39" s="215"/>
      <c r="R39" s="216"/>
      <c r="W39" s="18"/>
      <c r="X39" s="149"/>
      <c r="Y39" s="151">
        <f t="shared" si="7"/>
        <v>0</v>
      </c>
      <c r="Z39" s="152" t="str">
        <f t="shared" si="6"/>
        <v>0d6</v>
      </c>
      <c r="AA39" s="41" t="s">
        <v>97</v>
      </c>
      <c r="AB39" s="153"/>
      <c r="AC39" s="152"/>
      <c r="AD39" s="138"/>
      <c r="AE39" s="223">
        <f>AE38+AF38</f>
        <v>0</v>
      </c>
      <c r="AF39" s="223"/>
      <c r="AG39" s="224" t="s">
        <v>272</v>
      </c>
      <c r="AH39" s="223"/>
      <c r="AI39" s="172"/>
      <c r="AJ39" s="175" t="s">
        <v>273</v>
      </c>
      <c r="AK39" s="172">
        <f>IF(L105="Ranged",MAX(AF33,AI33),IF(U292="Melee",MAX(AE33,AF33),0))</f>
        <v>0</v>
      </c>
      <c r="AL39" s="172"/>
      <c r="AM39" s="172"/>
      <c r="AN39" s="175" t="s">
        <v>274</v>
      </c>
      <c r="AO39" s="172" t="str">
        <f>VLOOKUP(P3,'Race Modification'!C2:AE55,27,FALSE)</f>
        <v/>
      </c>
      <c r="AP39" s="172"/>
      <c r="AQ39" s="172"/>
      <c r="AR39" s="217"/>
      <c r="AS39" s="218"/>
    </row>
    <row r="40">
      <c r="A40" s="13"/>
      <c r="B40" s="207"/>
      <c r="C40" s="209"/>
      <c r="H40" s="138" t="str">
        <f t="shared" si="13"/>
        <v/>
      </c>
      <c r="I40" s="219">
        <v>0.0</v>
      </c>
      <c r="J40" s="219"/>
      <c r="M40" s="9" t="s">
        <v>24</v>
      </c>
      <c r="N40" s="219"/>
      <c r="O40" s="219"/>
      <c r="P40" s="220"/>
      <c r="Q40" s="221"/>
      <c r="R40" s="222"/>
      <c r="W40" s="18"/>
      <c r="X40" s="149"/>
      <c r="Y40" s="151">
        <f t="shared" si="7"/>
        <v>0</v>
      </c>
      <c r="Z40" s="152" t="str">
        <f t="shared" si="6"/>
        <v>0d6</v>
      </c>
      <c r="AA40" s="164" t="str">
        <f>AO58</f>
        <v/>
      </c>
      <c r="AB40" s="18">
        <f>AN58</f>
        <v>0</v>
      </c>
      <c r="AC40" s="152" t="str">
        <f>IF(AB40&lt;1,"0d6",IF(AB40&lt;3,"1d6",IF(AB40&lt;6,"2d6",IF(AB40&lt;10,"3d6",IF(AB40&lt;15,"4d6",IF(AB40&lt;21,"5d6",IF(AB40&lt;28,"6d6",IF(AB40&lt;36,"7d6","0d6"))))))))</f>
        <v>0d6</v>
      </c>
      <c r="AD40" s="138">
        <f>IF(AB40&lt;1,0,IF(AB40&lt;3,1,IF(AB40&lt;6,2,IF(AB40&lt;10,3,IF(AB40&lt;15,4,IF(AB40&lt;21,5,IF(AB40&lt;28,6,IF(AB40&lt;36,7,0))))))))</f>
        <v>0</v>
      </c>
      <c r="AE40" s="224" t="s">
        <v>188</v>
      </c>
      <c r="AF40" s="224" t="s">
        <v>189</v>
      </c>
      <c r="AG40" s="224" t="s">
        <v>190</v>
      </c>
      <c r="AH40" s="224" t="s">
        <v>191</v>
      </c>
      <c r="AI40" s="175" t="s">
        <v>192</v>
      </c>
      <c r="AJ40" s="175" t="s">
        <v>275</v>
      </c>
      <c r="AK40" s="172">
        <f>IF(L107="Ranged",MAX(AF33,AI33),IF(U292="Melee",MAX(AE33,AF33),0))</f>
        <v>0</v>
      </c>
      <c r="AL40" s="172"/>
      <c r="AM40" s="172"/>
      <c r="AN40" s="172">
        <f>AL47+AO35+AD38</f>
        <v>2</v>
      </c>
      <c r="AO40" s="172">
        <f>VLOOKUP(AN40,AC369:AD439,2,FALSE)+AO39</f>
        <v>7</v>
      </c>
      <c r="AP40" s="175" t="s">
        <v>138</v>
      </c>
      <c r="AQ40" s="172">
        <f>IF(J3="Tiny",AO40+8,IF(J3="Small",AO40+4,IF(J3="Medium",AO40,IF(J3="Large",AO40-4,IF(J3="Enormous",AO40-8,AO40)))))</f>
        <v>7</v>
      </c>
      <c r="AR40" s="217"/>
      <c r="AS40" s="218"/>
    </row>
    <row r="41">
      <c r="A41" s="13"/>
      <c r="B41" s="207"/>
      <c r="C41" s="200"/>
      <c r="H41" s="138" t="str">
        <f t="shared" si="13"/>
        <v/>
      </c>
      <c r="I41" s="169">
        <v>0.0</v>
      </c>
      <c r="J41" s="169"/>
      <c r="M41" s="5" t="s">
        <v>24</v>
      </c>
      <c r="N41" s="169"/>
      <c r="O41" s="169"/>
      <c r="P41" s="220"/>
      <c r="Q41" s="215"/>
      <c r="R41" s="216"/>
      <c r="W41" s="18"/>
      <c r="X41" s="149"/>
      <c r="Y41" s="151">
        <f t="shared" si="7"/>
        <v>0</v>
      </c>
      <c r="Z41" s="152" t="str">
        <f t="shared" si="6"/>
        <v>0d6</v>
      </c>
      <c r="AA41" s="41" t="s">
        <v>98</v>
      </c>
      <c r="AB41" s="153"/>
      <c r="AC41" s="152"/>
      <c r="AD41" s="138"/>
      <c r="AE41" s="223">
        <f>VLOOKUP(C13,AH174:AI203,2)+C12+G140+AI255+AI258+AK97</f>
        <v>2</v>
      </c>
      <c r="AF41" s="223">
        <f>VLOOKUP(D13,AH174:AI203,2)+D12+F142+AI248+AI250+AI252+AI255+AI258+AK97</f>
        <v>2</v>
      </c>
      <c r="AG41" s="223">
        <f>VLOOKUP(E13,AH174:AI203,2)+E12+C151+AI241+AI246+AI254+AI255+AI258+AK97</f>
        <v>2</v>
      </c>
      <c r="AH41" s="223">
        <f>VLOOKUP(F13,AH174:AI203,2)+F12+F140+AI240+AI242+AI247+AI255+AI258</f>
        <v>2</v>
      </c>
      <c r="AI41" s="172">
        <f>VLOOKUP(G13,AH174:AI203,2)+G12+AI238+AI249+AI253+AI255+AI258</f>
        <v>2</v>
      </c>
      <c r="AJ41" s="175" t="s">
        <v>248</v>
      </c>
      <c r="AK41" s="172"/>
      <c r="AL41" s="172"/>
      <c r="AM41" s="172"/>
      <c r="AN41" s="175" t="s">
        <v>276</v>
      </c>
      <c r="AO41" s="172" t="str">
        <f>VLOOKUP(P3,'Race Modification'!C2:AE55,28,FALSE)</f>
        <v/>
      </c>
      <c r="AP41" s="172"/>
      <c r="AQ41" s="172"/>
      <c r="AR41" s="217"/>
      <c r="AS41" s="218"/>
    </row>
    <row r="42">
      <c r="A42" s="13"/>
      <c r="B42" s="207"/>
      <c r="C42" s="209"/>
      <c r="H42" s="138" t="str">
        <f t="shared" si="13"/>
        <v/>
      </c>
      <c r="I42" s="219">
        <v>0.0</v>
      </c>
      <c r="J42" s="219"/>
      <c r="M42" s="9" t="s">
        <v>24</v>
      </c>
      <c r="N42" s="219"/>
      <c r="O42" s="219"/>
      <c r="P42" s="220"/>
      <c r="Q42" s="221"/>
      <c r="R42" s="222"/>
      <c r="W42" s="18"/>
      <c r="X42" s="149"/>
      <c r="Y42" s="151">
        <f t="shared" si="7"/>
        <v>0</v>
      </c>
      <c r="Z42" s="152" t="str">
        <f t="shared" si="6"/>
        <v>0d6</v>
      </c>
      <c r="AA42" s="18" t="str">
        <f>AO69</f>
        <v/>
      </c>
      <c r="AB42" s="18">
        <f>AN69</f>
        <v>0</v>
      </c>
      <c r="AC42" s="152" t="str">
        <f>IF(AB42&lt;1,"0d6",IF(AB42&lt;3,"1d6",IF(AB42&lt;6,"2d6",IF(AB42&lt;10,"3d6",IF(AB42&lt;15,"4d6",IF(AB42&lt;21,"5d6",IF(AB42&lt;28,"6d6",IF(AB42&lt;36,"7d6","0d6"))))))))</f>
        <v>0d6</v>
      </c>
      <c r="AD42" s="138">
        <f>IF(AB42&lt;1,0,IF(AB42&lt;3,1,IF(AB42&lt;6,2,IF(AB42&lt;10,3,IF(AB42&lt;15,4,IF(AB42&lt;21,5,IF(AB42&lt;28,6,IF(AB42&lt;36,7,0))))))))</f>
        <v>0</v>
      </c>
      <c r="AE42" s="223">
        <f>VLOOKUP(C20,AH174:AI203,2)+C19+M136+AI244+AI250+AI251+AI255+AI258</f>
        <v>2</v>
      </c>
      <c r="AF42" s="223">
        <f>VLOOKUP(D20,AH174:AI203,2)+D19+AI239+AI255+AI258</f>
        <v>2</v>
      </c>
      <c r="AG42" s="223">
        <f>VLOOKUP(E20,AH174:AI203,2)+E19+AI255+AI258</f>
        <v>2</v>
      </c>
      <c r="AH42" s="223">
        <f>VLOOKUP(F20,AH174:AI203,2)+F19+AI255+AI258</f>
        <v>0</v>
      </c>
      <c r="AI42" s="172">
        <f>VLOOKUP(G20,AH174:AI203,2)+G19+AI255+AI258</f>
        <v>0</v>
      </c>
      <c r="AJ42" s="172">
        <f>VLOOKUP(H13,AH174:AI203,2)+H12+AI255+AI258</f>
        <v>0</v>
      </c>
      <c r="AK42" s="172"/>
      <c r="AL42" s="172"/>
      <c r="AM42" s="172"/>
      <c r="AN42" s="172">
        <f>AL49+AD40+AF33</f>
        <v>2</v>
      </c>
      <c r="AO42" s="172">
        <f>VLOOKUP(AN42,AC369:AD439,2,FALSE)+AO41</f>
        <v>7</v>
      </c>
      <c r="AP42" s="175" t="s">
        <v>177</v>
      </c>
      <c r="AQ42" s="172">
        <f>IF(J3="Tiny",AO42+8,IF(J3="Small",AO42+4,IF(J3="Medium",AO42,IF(J3="Large",AO42-4,IF(J3="Enormous",AO42-8,AO42)))))</f>
        <v>7</v>
      </c>
      <c r="AR42" s="217"/>
      <c r="AS42" s="218"/>
    </row>
    <row r="43">
      <c r="A43" s="13"/>
      <c r="B43" s="258"/>
      <c r="C43" s="200"/>
      <c r="H43" s="125"/>
      <c r="I43" s="169">
        <v>0.0</v>
      </c>
      <c r="J43" s="169"/>
      <c r="M43" s="5" t="s">
        <v>24</v>
      </c>
      <c r="N43" s="169"/>
      <c r="O43" s="169"/>
      <c r="P43" s="220"/>
      <c r="Q43" s="215"/>
      <c r="R43" s="216"/>
      <c r="W43" s="18"/>
      <c r="X43" s="149"/>
      <c r="Y43" s="151">
        <f t="shared" si="7"/>
        <v>0</v>
      </c>
      <c r="Z43" s="152" t="str">
        <f t="shared" si="6"/>
        <v>0d6</v>
      </c>
      <c r="AA43" s="41" t="s">
        <v>128</v>
      </c>
      <c r="AB43" s="41"/>
      <c r="AC43" s="152"/>
      <c r="AD43" s="138"/>
      <c r="AE43" s="224" t="s">
        <v>222</v>
      </c>
      <c r="AF43" s="224" t="s">
        <v>223</v>
      </c>
      <c r="AG43" s="224" t="s">
        <v>224</v>
      </c>
      <c r="AH43" s="224" t="s">
        <v>225</v>
      </c>
      <c r="AI43" s="175" t="s">
        <v>226</v>
      </c>
      <c r="AJ43" s="172">
        <f>VLOOKUP(H20,AH174:AI203,2)+H19+AI255+AI258</f>
        <v>0</v>
      </c>
      <c r="AK43" s="172"/>
      <c r="AL43" s="172"/>
      <c r="AM43" s="172"/>
      <c r="AN43" s="172"/>
      <c r="AO43" s="175" t="s">
        <v>55</v>
      </c>
      <c r="AP43" s="172"/>
      <c r="AQ43" s="172"/>
      <c r="AR43" s="217"/>
      <c r="AS43" s="218"/>
    </row>
    <row r="44">
      <c r="A44" s="13"/>
      <c r="B44" s="15"/>
      <c r="C44" s="209"/>
      <c r="H44" s="125"/>
      <c r="I44" s="201" t="s">
        <v>278</v>
      </c>
      <c r="O44" s="18"/>
      <c r="P44" s="263" t="s">
        <v>279</v>
      </c>
      <c r="W44" s="18"/>
      <c r="X44" s="265"/>
      <c r="Y44" s="266">
        <f t="shared" si="7"/>
        <v>0</v>
      </c>
      <c r="Z44" s="152" t="str">
        <f t="shared" si="6"/>
        <v>0d6</v>
      </c>
      <c r="AA44" s="18" t="str">
        <f>IF(ISNA(VLOOKUP("Zero-G",X27:Y50,1,FALSE)),"-",VLOOKUP("Zero-G",X27:Y50,1,FALSE))</f>
        <v>-</v>
      </c>
      <c r="AB44" s="18">
        <f>IF(ISNA(VLOOKUP("Zero-G",X27:Y50,2,FALSE)),0,VLOOKUP("Zero-G",X27:Y50,2,FALSE))</f>
        <v>0</v>
      </c>
      <c r="AC44" s="152" t="str">
        <f>IF(AB44&lt;1,"0d6",IF(AB44&lt;3,"1d6",IF(AB44&lt;6,"2d6",IF(AB44&lt;10,"3d6",IF(AB44&lt;15,"4d6",IF(AB44&lt;21,"5d6",IF(AB44&lt;28,"6d6",IF(AB44&lt;36,"7d6","0d6"))))))))</f>
        <v>0d6</v>
      </c>
      <c r="AD44" s="138">
        <f>IF(AB44&lt;1,0,IF(AB44&lt;3,1,IF(AB44&lt;6,2,IF(AB44&lt;10,3,IF(AB44&lt;15,4,IF(AB44&lt;21,5,IF(AB44&lt;28,6,IF(AB44&lt;36,7,0))))))))</f>
        <v>0</v>
      </c>
      <c r="AE44" s="223"/>
      <c r="AF44" s="223"/>
      <c r="AG44" s="223"/>
      <c r="AH44" s="174"/>
      <c r="AI44" s="172"/>
      <c r="AJ44" s="175" t="s">
        <v>272</v>
      </c>
      <c r="AK44" s="172"/>
      <c r="AL44" s="172"/>
      <c r="AM44" s="172"/>
      <c r="AN44" s="175" t="s">
        <v>280</v>
      </c>
      <c r="AO44" s="172">
        <f>IF(ISNA(VLOOKUP("Acrobatics",X27:Y50,2,FALSE)),0,VLOOKUP("Acrobatics",X27:Y50,2,FALSE))</f>
        <v>0</v>
      </c>
      <c r="AP44" s="175" t="str">
        <f>IF(AO44=0,"","Acrobatics")</f>
        <v/>
      </c>
      <c r="AQ44" s="172">
        <f t="shared" ref="AQ44:AQ55" si="15">IF(AO44&lt;1,0,IF(AO44&lt;3,1,IF(AO44&lt;6,2,IF(AO44&lt;10,3,IF(AO44&lt;15,4,IF(AO44&lt;21,5,IF(AO44&lt;28,6,IF(AO44&lt;36,7,0))))))))</f>
        <v>0</v>
      </c>
      <c r="AR44" s="217"/>
      <c r="AS44" s="218"/>
    </row>
    <row r="45">
      <c r="A45" s="13"/>
      <c r="B45" s="15"/>
      <c r="C45" s="39" t="s">
        <v>100</v>
      </c>
      <c r="H45" s="125"/>
      <c r="I45" s="275" t="str">
        <f>IFERROR(__xludf.DUMMYFUNCTION("IF(ISNA(FILTER(AN284:AN359,AN284:AN359&lt;&gt;"""")),"""",FILTER(AN284:AN359,AN284:AN359&lt;&gt;""""))"),"")</f>
        <v/>
      </c>
      <c r="O45" s="18"/>
      <c r="P45" s="212" t="s">
        <v>279</v>
      </c>
      <c r="R45" s="210" t="s">
        <v>281</v>
      </c>
      <c r="T45" s="210" t="s">
        <v>8</v>
      </c>
      <c r="U45" s="210" t="s">
        <v>282</v>
      </c>
      <c r="W45" s="18"/>
      <c r="X45" s="47"/>
      <c r="Y45" s="45">
        <v>0.0</v>
      </c>
      <c r="Z45" s="152" t="str">
        <f t="shared" si="6"/>
        <v>0d6</v>
      </c>
      <c r="AA45" s="41" t="s">
        <v>127</v>
      </c>
      <c r="AB45" s="153"/>
      <c r="AC45" s="152"/>
      <c r="AD45" s="138"/>
      <c r="AE45" s="223"/>
      <c r="AF45" s="223"/>
      <c r="AG45" s="223"/>
      <c r="AH45" s="174"/>
      <c r="AI45" s="175" t="s">
        <v>283</v>
      </c>
      <c r="AJ45" s="172"/>
      <c r="AK45" s="172"/>
      <c r="AL45" s="172"/>
      <c r="AM45" s="172"/>
      <c r="AN45" s="175" t="s">
        <v>284</v>
      </c>
      <c r="AO45" s="172">
        <f>IF(ISNA(VLOOKUP("Dodging",X27:Y50,2,FALSE)),0,VLOOKUP("Dodging",X27:Y50,2,FALSE))</f>
        <v>0</v>
      </c>
      <c r="AP45" s="175" t="str">
        <f>IF(AO45=0,"","Dodging")</f>
        <v/>
      </c>
      <c r="AQ45" s="172">
        <f t="shared" si="15"/>
        <v>0</v>
      </c>
      <c r="AR45" s="217"/>
      <c r="AS45" s="218"/>
    </row>
    <row r="46">
      <c r="A46" s="13"/>
      <c r="B46" s="15"/>
      <c r="C46" s="277" t="str">
        <f>X27</f>
        <v>Select Skill</v>
      </c>
      <c r="D46" s="277" t="str">
        <f>X28</f>
        <v/>
      </c>
      <c r="E46" s="277" t="str">
        <f>X29</f>
        <v/>
      </c>
      <c r="F46" s="277" t="str">
        <f>X30</f>
        <v/>
      </c>
      <c r="G46" s="277" t="str">
        <f>X31</f>
        <v/>
      </c>
      <c r="H46" s="125"/>
      <c r="I46" s="278"/>
      <c r="O46" s="18"/>
      <c r="P46" s="279" t="s">
        <v>285</v>
      </c>
      <c r="R46" s="279" t="str">
        <f>VLOOKUP(P46,'Stat Modification'!L3:R50,IF(R45="Select Severity",7,IF(R45="Normal",3,IF(R45="Extreme",4,))),FALSE)</f>
        <v/>
      </c>
      <c r="T46" s="169" t="str">
        <f>VLOOKUP(P46,'Stat Modification'!L3:R50,5,FALSE)</f>
        <v/>
      </c>
      <c r="U46" s="169" t="str">
        <f>VLOOKUP(P46,'Stat Modification'!L3:R50,6,FALSE)</f>
        <v/>
      </c>
      <c r="W46" s="18"/>
      <c r="X46" s="47"/>
      <c r="Y46" s="45">
        <v>0.0</v>
      </c>
      <c r="Z46" s="152" t="str">
        <f t="shared" si="6"/>
        <v>0d6</v>
      </c>
      <c r="AA46" s="18" t="str">
        <f>IF(ISNA(VLOOKUP("High-G",X27:Y50,1,FALSE)),"-",VLOOKUP("High-G",X27:Y50,1,FALSE))</f>
        <v>-</v>
      </c>
      <c r="AB46" s="18">
        <f>IF(ISNA(VLOOKUP("High-G",X27:Y50,2,FALSE)),0,VLOOKUP("High-G",X27:Y50,2,FALSE))</f>
        <v>0</v>
      </c>
      <c r="AC46" s="152" t="str">
        <f>IF(AB46&lt;1,"0d6",IF(AB46&lt;3,"1d6",IF(AB46&lt;6,"2d6",IF(AB46&lt;10,"3d6",IF(AB46&lt;15,"4d6",IF(AB46&lt;21,"5d6",IF(AB46&lt;28,"6d6",IF(AB46&lt;36,"7d6","0d6"))))))))</f>
        <v>0d6</v>
      </c>
      <c r="AD46" s="138">
        <f t="shared" ref="AD46:AD50" si="16">IF(AB46&lt;1,0,IF(AB46&lt;3,1,IF(AB46&lt;6,2,IF(AB46&lt;10,3,IF(AB46&lt;15,4,IF(AB46&lt;21,5,IF(AB46&lt;28,6,IF(AB46&lt;36,7,0))))))))</f>
        <v>0</v>
      </c>
      <c r="AE46" s="223"/>
      <c r="AF46" s="223"/>
      <c r="AG46" s="224" t="s">
        <v>305</v>
      </c>
      <c r="AH46" s="224" t="s">
        <v>6</v>
      </c>
      <c r="AI46" s="175" t="s">
        <v>306</v>
      </c>
      <c r="AJ46" s="172"/>
      <c r="AK46" s="172"/>
      <c r="AL46" s="172"/>
      <c r="AM46" s="172"/>
      <c r="AN46" s="175" t="s">
        <v>307</v>
      </c>
      <c r="AO46" s="172">
        <f>IF(ISNA(VLOOKUP("Foresight",X27:Y50,2,FALSE)),0,VLOOKUP("Foresight",X27:Y50,2,FALSE))</f>
        <v>0</v>
      </c>
      <c r="AP46" s="175" t="str">
        <f>IF(AO46=0,"","Foresight")</f>
        <v/>
      </c>
      <c r="AQ46" s="172">
        <f t="shared" si="15"/>
        <v>0</v>
      </c>
      <c r="AR46" s="217"/>
      <c r="AS46" s="218"/>
    </row>
    <row r="47">
      <c r="A47" s="13"/>
      <c r="B47" s="15"/>
      <c r="C47" s="280" t="str">
        <f>IF(Z27="0d6","",Z27)</f>
        <v>1d6</v>
      </c>
      <c r="D47" s="280" t="str">
        <f>IF(Z28="0d6","",Z28)</f>
        <v/>
      </c>
      <c r="E47" s="280" t="str">
        <f>IF(Z29="0d6","",Z29)</f>
        <v/>
      </c>
      <c r="F47" s="280" t="str">
        <f>IF(Z30="0d6","",Z30)</f>
        <v/>
      </c>
      <c r="G47" s="280" t="str">
        <f>IF(Z31="0d6","",Z31)</f>
        <v/>
      </c>
      <c r="H47" s="125"/>
      <c r="I47" s="275"/>
      <c r="O47" s="18"/>
      <c r="P47" s="212"/>
      <c r="R47" s="210" t="s">
        <v>281</v>
      </c>
      <c r="T47" s="210"/>
      <c r="U47" s="210"/>
      <c r="V47" s="210"/>
      <c r="W47" s="18"/>
      <c r="X47" s="47"/>
      <c r="Y47" s="45">
        <v>0.0</v>
      </c>
      <c r="Z47" s="152" t="str">
        <f t="shared" si="6"/>
        <v>0d6</v>
      </c>
      <c r="AA47" s="41" t="s">
        <v>308</v>
      </c>
      <c r="AB47" s="281"/>
      <c r="AC47" s="152"/>
      <c r="AD47" s="138">
        <f t="shared" si="16"/>
        <v>0</v>
      </c>
      <c r="AE47" s="223"/>
      <c r="AF47" s="224" t="s">
        <v>271</v>
      </c>
      <c r="AG47" s="172">
        <f>AH81</f>
        <v>0</v>
      </c>
      <c r="AH47" s="223">
        <f>IF(ISNA(VLOOKUP(N292,AO79:AQ104,3,FALSE)),0,VLOOKUP(N292,AO79:AQ104,3,FALSE))</f>
        <v>0</v>
      </c>
      <c r="AI47" s="174">
        <f>IF(U292="Ranged",0,IF(U292="Melee",AH47,0))</f>
        <v>0</v>
      </c>
      <c r="AJ47" s="172" t="str">
        <f t="shared" ref="AJ47:AJ48" si="17">IF(AG47&gt;AI47,"Quality Higher","Fine")</f>
        <v>Fine</v>
      </c>
      <c r="AK47" s="172">
        <f t="shared" ref="AK47:AK48" si="18">IF(AJ47="Fine",AG47,AI47)</f>
        <v>0</v>
      </c>
      <c r="AL47" s="172">
        <f>MAX(AK47:AK49)</f>
        <v>0</v>
      </c>
      <c r="AM47" s="172"/>
      <c r="AN47" s="175" t="s">
        <v>309</v>
      </c>
      <c r="AO47" s="172">
        <f>IF(ISNA(VLOOKUP("Axes",X27:Y50,2,FALSE)),0,VLOOKUP("Axes",X27:Y50,2,FALSE))</f>
        <v>0</v>
      </c>
      <c r="AP47" s="175" t="str">
        <f>IF(AO47=0,"","Axes")</f>
        <v/>
      </c>
      <c r="AQ47" s="172">
        <f t="shared" si="15"/>
        <v>0</v>
      </c>
      <c r="AR47" s="217"/>
      <c r="AS47" s="218"/>
    </row>
    <row r="48">
      <c r="A48" s="13"/>
      <c r="B48" s="15"/>
      <c r="C48" s="282" t="str">
        <f>X32</f>
        <v/>
      </c>
      <c r="D48" s="282" t="str">
        <f>X33</f>
        <v/>
      </c>
      <c r="E48" s="282" t="str">
        <f>X34</f>
        <v/>
      </c>
      <c r="F48" s="282" t="str">
        <f>X35</f>
        <v/>
      </c>
      <c r="G48" s="282" t="str">
        <f>X36</f>
        <v/>
      </c>
      <c r="H48" s="15"/>
      <c r="I48" s="278"/>
      <c r="O48" s="18"/>
      <c r="P48" s="279" t="s">
        <v>285</v>
      </c>
      <c r="R48" s="279" t="str">
        <f>VLOOKUP(P48,'Stat Modification'!L3:R50,IF(R47="Select Severity",7,IF(R47="Normal",3,IF(R47="Extreme",4,))),FALSE)</f>
        <v/>
      </c>
      <c r="T48" s="169" t="str">
        <f>VLOOKUP(P48,'Stat Modification'!L3:R50,5,FALSE)</f>
        <v/>
      </c>
      <c r="U48" s="169" t="str">
        <f>VLOOKUP(P48,'Stat Modification'!L3:R50,6,FALSE)</f>
        <v/>
      </c>
      <c r="W48" s="18"/>
      <c r="X48" s="47"/>
      <c r="Y48" s="45">
        <v>0.0</v>
      </c>
      <c r="Z48" s="152" t="str">
        <f t="shared" si="6"/>
        <v>0d6</v>
      </c>
      <c r="AA48" s="18" t="str">
        <f>IF(ISNA(VLOOKUP("Flying",X27:Y50,1,FALSE)),"-",VLOOKUP("Flying",X27:Y50,1,FALSE))</f>
        <v>-</v>
      </c>
      <c r="AB48" s="18">
        <f>IF(ISNA(VLOOKUP("Flying",X27:Y50,2,FALSE)),0,VLOOKUP("Flying",X27:Y50,2,FALSE))</f>
        <v>0</v>
      </c>
      <c r="AC48" s="152" t="str">
        <f>IF(AB48&lt;1,"0d6",IF(AB48&lt;3,"1d6",IF(AB48&lt;6,"2d6",IF(AB48&lt;10,"3d6",IF(AB48&lt;15,"4d6",IF(AB48&lt;21,"5d6",IF(AB48&lt;28,"6d6",IF(AB48&lt;36,"7d6","0d6"))))))))</f>
        <v>0d6</v>
      </c>
      <c r="AD48" s="138">
        <f t="shared" si="16"/>
        <v>0</v>
      </c>
      <c r="AE48" s="172"/>
      <c r="AF48" s="175" t="s">
        <v>310</v>
      </c>
      <c r="AG48" s="172">
        <f>AH83</f>
        <v>0</v>
      </c>
      <c r="AH48" s="172">
        <f>IF(ISNA(VLOOKUP(N294,AO79:AQ104,3,FALSE)),0,VLOOKUP(N294,AO79:AQ104,3,FALSE))</f>
        <v>0</v>
      </c>
      <c r="AI48" s="174">
        <f>IF(U294="Ranged",0,IF(U294="Melee",AH48,0))</f>
        <v>0</v>
      </c>
      <c r="AJ48" s="172" t="str">
        <f t="shared" si="17"/>
        <v>Fine</v>
      </c>
      <c r="AK48" s="172">
        <f t="shared" si="18"/>
        <v>0</v>
      </c>
      <c r="AL48" s="172"/>
      <c r="AM48" s="172"/>
      <c r="AN48" s="175" t="s">
        <v>311</v>
      </c>
      <c r="AO48" s="172">
        <f>IF(ISNA(VLOOKUP("Boxing",X27:Y50,2,FALSE)),0,VLOOKUP("Boxing",X27:Y50,2,FALSE))</f>
        <v>0</v>
      </c>
      <c r="AP48" s="175" t="str">
        <f>IF(AO48=0,"","Boxing")</f>
        <v/>
      </c>
      <c r="AQ48" s="172">
        <f t="shared" si="15"/>
        <v>0</v>
      </c>
      <c r="AR48" s="217"/>
      <c r="AS48" s="218"/>
    </row>
    <row r="49">
      <c r="A49" s="13"/>
      <c r="B49" s="15"/>
      <c r="C49" s="133" t="str">
        <f>IF(Z32="0d6","",Z32)</f>
        <v/>
      </c>
      <c r="D49" s="133" t="str">
        <f>IF(Z33="0d6","",Z33)</f>
        <v/>
      </c>
      <c r="E49" s="133" t="str">
        <f>IF(Z34="0d6","",Z34)</f>
        <v/>
      </c>
      <c r="F49" s="133" t="str">
        <f>IF(Z35="0d6","",Z35)</f>
        <v/>
      </c>
      <c r="G49" s="133" t="str">
        <f>IF(Z36="0d6","",Z36)</f>
        <v/>
      </c>
      <c r="H49" s="15"/>
      <c r="I49" s="275"/>
      <c r="O49" s="18"/>
      <c r="P49" s="212"/>
      <c r="R49" s="210" t="s">
        <v>281</v>
      </c>
      <c r="T49" s="210"/>
      <c r="U49" s="210"/>
      <c r="V49" s="210"/>
      <c r="W49" s="18"/>
      <c r="X49" s="47"/>
      <c r="Y49" s="45">
        <v>0.0</v>
      </c>
      <c r="Z49" s="152" t="str">
        <f t="shared" si="6"/>
        <v>0d6</v>
      </c>
      <c r="AA49" s="41" t="s">
        <v>312</v>
      </c>
      <c r="AB49" s="281"/>
      <c r="AC49" s="152"/>
      <c r="AD49" s="138">
        <f t="shared" si="16"/>
        <v>0</v>
      </c>
      <c r="AE49" s="172"/>
      <c r="AF49" s="175" t="s">
        <v>313</v>
      </c>
      <c r="AG49" s="175">
        <f>IF(M298="Improvised",-2,IF(M298="Standard",0,IF(M298="High",1,IF(M298="Exceptional",2,IF(M298="Mastercraft",3,IF(M298="Artisanal",4,IF(M298="Legendary",5,0)))))))</f>
        <v>0</v>
      </c>
      <c r="AH49" s="172">
        <f>IF(ISNA(VLOOKUP(N298,AO79:AQ104,3,FALSE)),0,VLOOKUP(N298,AO79:AQ104,3,FALSE))</f>
        <v>0</v>
      </c>
      <c r="AI49" s="172"/>
      <c r="AJ49" s="223" t="str">
        <f>IF(AG49&gt;AH49,"Quality Higher","Fine")</f>
        <v>Fine</v>
      </c>
      <c r="AK49" s="172">
        <f>IF(AJ49="Fine",AG49,AH49)</f>
        <v>0</v>
      </c>
      <c r="AL49" s="172">
        <f>AK49</f>
        <v>0</v>
      </c>
      <c r="AM49" s="172"/>
      <c r="AN49" s="175" t="s">
        <v>314</v>
      </c>
      <c r="AO49" s="172">
        <f>IF(ISNA(VLOOKUP("Brawling",X27:Y50,2,FALSE)),0,VLOOKUP("Brawling",X27:Y50,2,FALSE))</f>
        <v>0</v>
      </c>
      <c r="AP49" s="175" t="str">
        <f>IF(AO49=0,"","Brawling")</f>
        <v/>
      </c>
      <c r="AQ49" s="172">
        <f t="shared" si="15"/>
        <v>0</v>
      </c>
      <c r="AR49" s="217"/>
      <c r="AS49" s="218"/>
    </row>
    <row r="50">
      <c r="A50" s="13"/>
      <c r="B50" s="18"/>
      <c r="C50" s="283" t="str">
        <f>X37</f>
        <v/>
      </c>
      <c r="D50" s="283" t="str">
        <f>X38</f>
        <v/>
      </c>
      <c r="E50" s="283" t="str">
        <f>X39</f>
        <v/>
      </c>
      <c r="F50" s="283" t="str">
        <f>X40</f>
        <v/>
      </c>
      <c r="G50" s="283" t="str">
        <f>X41</f>
        <v/>
      </c>
      <c r="H50" s="15"/>
      <c r="I50" s="278"/>
      <c r="O50" s="18"/>
      <c r="P50" s="279" t="s">
        <v>285</v>
      </c>
      <c r="R50" s="279" t="str">
        <f>VLOOKUP(P50,'Stat Modification'!L3:R50,IF(R49="Select Severity",7,IF(R49="Normal",3,IF(R49="Extreme",4,))),FALSE)</f>
        <v/>
      </c>
      <c r="T50" s="169" t="str">
        <f>VLOOKUP(P50,'Stat Modification'!L3:R50,5,FALSE)</f>
        <v/>
      </c>
      <c r="U50" s="169" t="str">
        <f>VLOOKUP(P50,'Stat Modification'!L3:R50,6,FALSE)</f>
        <v/>
      </c>
      <c r="W50" s="18"/>
      <c r="X50" s="175" t="s">
        <v>25</v>
      </c>
      <c r="Y50" s="175"/>
      <c r="Z50" s="284"/>
      <c r="AA50" s="164" t="str">
        <f>IF(ISNA(VLOOKUP("Linguistics",X27:Y50,1,FALSE)),"-",VLOOKUP("Linguistics",X27:Y50,1,FALSE))</f>
        <v>-</v>
      </c>
      <c r="AB50" s="18">
        <f>IF(ISNA(VLOOKUP("Linguistics",X27:Y50,2,FALSE)),0,VLOOKUP("Linguistics",X27:Y50,2,FALSE))</f>
        <v>0</v>
      </c>
      <c r="AC50" s="152" t="str">
        <f>IF(AB50&lt;1,"0d6",IF(AB50&lt;3,"1d6",IF(AB50&lt;6,"2d6",IF(AB50&lt;10,"3d6",IF(AB50&lt;15,"4d6",IF(AB50&lt;21,"5d6",IF(AB50&lt;28,"6d6",IF(AB50&lt;36,"7d6","0d6"))))))))</f>
        <v>0d6</v>
      </c>
      <c r="AD50" s="138">
        <f t="shared" si="16"/>
        <v>0</v>
      </c>
      <c r="AE50" s="172"/>
      <c r="AF50" s="172" t="str">
        <f>IF(ISNA(VLOOKUP("Low-g",X27:Y50,1,FALSE)),"-",VLOOKUP("Low-g",X27:Y50,1,FALSE))</f>
        <v>-</v>
      </c>
      <c r="AG50" s="172">
        <f>IF(ISNA(VLOOKUP("Low-g",X27:Y50,2,FALSE)),0,VLOOKUP("Low-g",X27:Y50,2,FALSE))</f>
        <v>0</v>
      </c>
      <c r="AH50" s="172">
        <f>IF(AG50&lt;1,0,IF(AG50&lt;3,1,IF(AG50&lt;6,2,IF(AG50&lt;10,3,IF(AG50&lt;15,4,IF(AG50&lt;21,5,IF(AG50&lt;28,6,IF(AG50&lt;36,7,0))))))))</f>
        <v>0</v>
      </c>
      <c r="AI50" s="175"/>
      <c r="AJ50" s="172"/>
      <c r="AK50" s="172"/>
      <c r="AL50" s="172"/>
      <c r="AM50" s="172"/>
      <c r="AN50" s="175" t="s">
        <v>315</v>
      </c>
      <c r="AO50" s="172">
        <f>IF(ISNA(VLOOKUP("Clubs",X27:Y50,2,FALSE)),0,VLOOKUP("Clubs",X27:Y50,2,FALSE))</f>
        <v>0</v>
      </c>
      <c r="AP50" s="175" t="str">
        <f>IF(AO50=0,"","Clubs")</f>
        <v/>
      </c>
      <c r="AQ50" s="172">
        <f t="shared" si="15"/>
        <v>0</v>
      </c>
      <c r="AR50" s="217"/>
      <c r="AS50" s="218"/>
    </row>
    <row r="51">
      <c r="A51" s="285"/>
      <c r="B51" s="18"/>
      <c r="C51" s="280" t="str">
        <f>IF(Z37="0d6","",Z37)</f>
        <v/>
      </c>
      <c r="D51" s="280" t="str">
        <f>IF(Z38="0d6","",Z38)</f>
        <v/>
      </c>
      <c r="E51" s="280" t="str">
        <f>IF(Z39="0d6","",Z39)</f>
        <v/>
      </c>
      <c r="F51" s="280" t="str">
        <f>IF(Z40="0d6","",Z40)</f>
        <v/>
      </c>
      <c r="G51" s="280" t="str">
        <f>IF(Z41="0d6","",Z41)</f>
        <v/>
      </c>
      <c r="H51" s="15"/>
      <c r="I51" s="275"/>
      <c r="O51" s="18"/>
      <c r="P51" s="212"/>
      <c r="R51" s="210" t="s">
        <v>281</v>
      </c>
      <c r="T51" s="210"/>
      <c r="U51" s="210"/>
      <c r="V51" s="210"/>
      <c r="W51" s="286"/>
      <c r="X51" s="287" t="s">
        <v>316</v>
      </c>
      <c r="AD51" s="288"/>
      <c r="AE51" s="172"/>
      <c r="AF51" s="172"/>
      <c r="AG51" s="172"/>
      <c r="AH51" s="172"/>
      <c r="AI51" s="172"/>
      <c r="AJ51" s="172"/>
      <c r="AK51" s="172"/>
      <c r="AL51" s="172"/>
      <c r="AM51" s="172"/>
      <c r="AN51" s="175" t="s">
        <v>317</v>
      </c>
      <c r="AO51" s="172">
        <f>IF(ISNA(VLOOKUP("Knives",X27:Y50,2,FALSE)),0,VLOOKUP("Knives",X27:Y50,2,FALSE))</f>
        <v>0</v>
      </c>
      <c r="AP51" s="175" t="str">
        <f>IF(AO51=0,"","Knives")</f>
        <v/>
      </c>
      <c r="AQ51" s="172">
        <f t="shared" si="15"/>
        <v>0</v>
      </c>
      <c r="AR51" s="217"/>
      <c r="AS51" s="218"/>
    </row>
    <row r="52">
      <c r="A52" s="285"/>
      <c r="B52" s="18"/>
      <c r="C52" s="282" t="str">
        <f>X42</f>
        <v/>
      </c>
      <c r="D52" s="282" t="str">
        <f>X43</f>
        <v/>
      </c>
      <c r="E52" s="282" t="str">
        <f>X44</f>
        <v/>
      </c>
      <c r="F52" s="282" t="str">
        <f>X45</f>
        <v/>
      </c>
      <c r="G52" s="282" t="str">
        <f>X46</f>
        <v/>
      </c>
      <c r="H52" s="15"/>
      <c r="I52" s="278"/>
      <c r="O52" s="18"/>
      <c r="P52" s="279" t="s">
        <v>285</v>
      </c>
      <c r="R52" s="279" t="str">
        <f>VLOOKUP(P52,'Stat Modification'!L3:R50,IF(R51="Select Severity",7,IF(R51="Normal",3,IF(R51="Extreme",4,))),FALSE)</f>
        <v/>
      </c>
      <c r="T52" s="169" t="str">
        <f>VLOOKUP(P52,'Stat Modification'!L3:R50,5,FALSE)</f>
        <v/>
      </c>
      <c r="U52" s="169" t="str">
        <f>VLOOKUP(P52,'Stat Modification'!L3:R50,6,FALSE)</f>
        <v/>
      </c>
      <c r="W52" s="294"/>
      <c r="X52" s="295" t="s">
        <v>338</v>
      </c>
      <c r="AA52" s="295" t="s">
        <v>339</v>
      </c>
      <c r="AD52" s="288"/>
      <c r="AE52" s="172"/>
      <c r="AF52" s="172"/>
      <c r="AG52" s="172"/>
      <c r="AH52" s="172"/>
      <c r="AI52" s="172"/>
      <c r="AJ52" s="172"/>
      <c r="AK52" s="172"/>
      <c r="AL52" s="172"/>
      <c r="AM52" s="172"/>
      <c r="AN52" s="175" t="s">
        <v>340</v>
      </c>
      <c r="AO52" s="172">
        <f>IF(ISNA(VLOOKUP("Martial Arts",X27:Y50,2,FALSE)),0,VLOOKUP("Martial Arts",X27:Y50,2,FALSE))</f>
        <v>0</v>
      </c>
      <c r="AP52" s="175" t="str">
        <f>IF(AO52=0,"","Martial Arts")</f>
        <v/>
      </c>
      <c r="AQ52" s="172">
        <f t="shared" si="15"/>
        <v>0</v>
      </c>
      <c r="AR52" s="217"/>
      <c r="AS52" s="218"/>
    </row>
    <row r="53">
      <c r="A53" s="285"/>
      <c r="B53" s="18"/>
      <c r="C53" s="133" t="str">
        <f>IF(Z42="0d6","",Z42)</f>
        <v/>
      </c>
      <c r="D53" s="133" t="str">
        <f>IF(Z43="0d6","",Z43)</f>
        <v/>
      </c>
      <c r="E53" s="133" t="str">
        <f>IF(Z44="0d6","",Z44)</f>
        <v/>
      </c>
      <c r="F53" s="133" t="str">
        <f>IF(Z45="0d6","",Z45)</f>
        <v/>
      </c>
      <c r="G53" s="133" t="str">
        <f>IF(Z46="0d6","",Z46)</f>
        <v/>
      </c>
      <c r="H53" s="303"/>
      <c r="I53" s="275"/>
      <c r="O53" s="18"/>
      <c r="P53" s="212"/>
      <c r="R53" s="210" t="s">
        <v>281</v>
      </c>
      <c r="T53" s="210"/>
      <c r="U53" s="210"/>
      <c r="V53" s="210"/>
      <c r="W53" s="304"/>
      <c r="X53" s="306">
        <f>G20*10</f>
        <v>0</v>
      </c>
      <c r="AA53" s="307">
        <v>0.0</v>
      </c>
      <c r="AD53" s="288"/>
      <c r="AE53" s="172"/>
      <c r="AF53" s="172"/>
      <c r="AG53" s="175" t="s">
        <v>4</v>
      </c>
      <c r="AH53" s="172"/>
      <c r="AI53" s="172"/>
      <c r="AJ53" s="172"/>
      <c r="AK53" s="172"/>
      <c r="AL53" s="172"/>
      <c r="AM53" s="172"/>
      <c r="AN53" s="175" t="s">
        <v>419</v>
      </c>
      <c r="AO53" s="175">
        <f>IF(ISNA(VLOOKUP("Polearms",X27:Y50,2,FALSE)),0,VLOOKUP("Polearms",X27:Y50,2,FALSE))</f>
        <v>0</v>
      </c>
      <c r="AP53" s="175" t="str">
        <f>IF(AO53=0,"","Polearms")</f>
        <v/>
      </c>
      <c r="AQ53" s="172">
        <f t="shared" si="15"/>
        <v>0</v>
      </c>
      <c r="AR53" s="217"/>
      <c r="AS53" s="218"/>
    </row>
    <row r="54">
      <c r="A54" s="285"/>
      <c r="B54" s="18"/>
      <c r="C54" s="283" t="str">
        <f>X47</f>
        <v/>
      </c>
      <c r="D54" s="283" t="str">
        <f>X48</f>
        <v/>
      </c>
      <c r="E54" s="283" t="str">
        <f>X49</f>
        <v/>
      </c>
      <c r="F54" s="309"/>
      <c r="G54" s="309"/>
      <c r="H54" s="303"/>
      <c r="I54" s="278"/>
      <c r="O54" s="18"/>
      <c r="P54" s="279" t="s">
        <v>285</v>
      </c>
      <c r="R54" s="279" t="str">
        <f>VLOOKUP(P54,'Stat Modification'!L3:R50,IF(R53="Select Severity",7,IF(R53="Normal",3,IF(R53="Extreme",4,))),FALSE)</f>
        <v/>
      </c>
      <c r="T54" s="169" t="str">
        <f>VLOOKUP(P54,'Stat Modification'!L3:R50,5,FALSE)</f>
        <v/>
      </c>
      <c r="U54" s="169" t="str">
        <f>VLOOKUP(P54,'Stat Modification'!L3:R50,6,FALSE)</f>
        <v/>
      </c>
      <c r="W54" s="304"/>
      <c r="AD54" s="288"/>
      <c r="AE54" s="172"/>
      <c r="AF54" s="172"/>
      <c r="AG54" s="172" t="b">
        <f>IF(C176="Improvised",-2,IF(C176="Standard",0,IF(C176="High",1,IF(C176="Exceptional",2,IF(C176="Mastercraft",3,IF(C176="Artisanal",4,IF(C176="Legendary",5)))))))</f>
        <v>0</v>
      </c>
      <c r="AH54" s="175" t="s">
        <v>506</v>
      </c>
      <c r="AI54" s="172"/>
      <c r="AJ54" s="172">
        <f>IF(ISNA(VLOOKUP("Shields",X27:Y50,2,FALSE)),0,VLOOKUP("Shields",X27:Y50,2,FALSE))</f>
        <v>0</v>
      </c>
      <c r="AK54" s="172"/>
      <c r="AL54" s="172"/>
      <c r="AM54" s="172"/>
      <c r="AN54" s="175" t="s">
        <v>514</v>
      </c>
      <c r="AO54" s="172">
        <f>IF(ISNA(VLOOKUP("Swords",X27:Y50,2,FALSE)),0,VLOOKUP("Swords",X27:Y50,2,FALSE))</f>
        <v>0</v>
      </c>
      <c r="AP54" s="175" t="str">
        <f>IF(AO54=0,"","Swords")</f>
        <v/>
      </c>
      <c r="AQ54" s="172">
        <f t="shared" si="15"/>
        <v>0</v>
      </c>
      <c r="AR54" s="217"/>
      <c r="AS54" s="218"/>
    </row>
    <row r="55">
      <c r="A55" s="285"/>
      <c r="B55" s="18"/>
      <c r="C55" s="280" t="str">
        <f>IF(Z47="0d6","",Z47)</f>
        <v/>
      </c>
      <c r="D55" s="280" t="str">
        <f>IF(Z48="0d6","",Z48)</f>
        <v/>
      </c>
      <c r="E55" s="280" t="str">
        <f>IF(Z49="0d6","",Z49)</f>
        <v/>
      </c>
      <c r="F55" s="314"/>
      <c r="G55" s="314"/>
      <c r="H55" s="316"/>
      <c r="I55" s="275"/>
      <c r="O55" s="18"/>
      <c r="P55" s="16" t="s">
        <v>518</v>
      </c>
      <c r="W55" s="39" t="s">
        <v>519</v>
      </c>
      <c r="AE55" s="172"/>
      <c r="AF55" s="172"/>
      <c r="AG55" s="172">
        <f>IF(M292="Improvised",-2,IF(M292="Standard",0,IF(M292="High",1,IF(M292="Exceptional",2,IF(M292="Mastercraft",3,IF(M292="Artisanal",4,IF(M292="Legendary",5,0)))))))</f>
        <v>0</v>
      </c>
      <c r="AH55" s="175" t="s">
        <v>506</v>
      </c>
      <c r="AI55" s="172"/>
      <c r="AJ55" s="172"/>
      <c r="AK55" s="172"/>
      <c r="AL55" s="172"/>
      <c r="AM55" s="172"/>
      <c r="AN55" s="175" t="s">
        <v>520</v>
      </c>
      <c r="AO55" s="172">
        <f>IF(ISNA(VLOOKUP("Wrestling",X27:Y50,2,FALSE)),0,VLOOKUP("Wrestling",X27:Y50,2,FALSE))</f>
        <v>0</v>
      </c>
      <c r="AP55" s="175" t="str">
        <f>IF(AO55=0,"","Wrestling")</f>
        <v/>
      </c>
      <c r="AQ55" s="172">
        <f t="shared" si="15"/>
        <v>0</v>
      </c>
      <c r="AR55" s="217"/>
      <c r="AS55" s="218"/>
    </row>
    <row r="56">
      <c r="A56" s="285"/>
      <c r="B56" s="18"/>
      <c r="C56" s="318" t="s">
        <v>521</v>
      </c>
      <c r="H56" s="316"/>
      <c r="I56" s="278"/>
      <c r="O56" s="18"/>
      <c r="P56" s="151" t="s">
        <v>522</v>
      </c>
      <c r="S56" s="319">
        <f>AH42+V56</f>
        <v>0</v>
      </c>
      <c r="V56" s="59"/>
      <c r="W56" s="164"/>
      <c r="X56" s="320" t="s">
        <v>523</v>
      </c>
      <c r="AA56" s="320" t="s">
        <v>524</v>
      </c>
      <c r="AD56" s="18"/>
      <c r="AE56" s="172"/>
      <c r="AF56" s="172"/>
      <c r="AG56" s="172">
        <f>IF(M298="Improvised",-2,IF(M298="Standard",0,IF(M298="High",1,IF(M298="Exceptional",2,IF(M298="Mastercraft",3,IF(M298="Artisanal",4,IF(M298="Legendary",5,0)))))))</f>
        <v>0</v>
      </c>
      <c r="AH56" s="175" t="s">
        <v>525</v>
      </c>
      <c r="AI56" s="172"/>
      <c r="AJ56" s="172"/>
      <c r="AK56" s="172"/>
      <c r="AL56" s="172"/>
      <c r="AM56" s="173"/>
      <c r="AN56" s="172">
        <f>MAX(AO47,AO50,AO51,AO53,AO54)</f>
        <v>0</v>
      </c>
      <c r="AO56" s="172"/>
      <c r="AP56" s="175" t="s">
        <v>526</v>
      </c>
      <c r="AQ56" s="172"/>
      <c r="AR56" s="217"/>
      <c r="AS56" s="218"/>
    </row>
    <row r="57">
      <c r="A57" s="285"/>
      <c r="B57" s="18"/>
      <c r="C57" s="321" t="s">
        <v>329</v>
      </c>
      <c r="D57" s="321" t="s">
        <v>527</v>
      </c>
      <c r="E57" s="321" t="s">
        <v>528</v>
      </c>
      <c r="F57" s="321" t="s">
        <v>529</v>
      </c>
      <c r="G57" s="321" t="s">
        <v>530</v>
      </c>
      <c r="H57" s="316"/>
      <c r="I57" s="275"/>
      <c r="O57" s="18"/>
      <c r="P57" s="41" t="s">
        <v>3</v>
      </c>
      <c r="R57" s="41" t="s">
        <v>531</v>
      </c>
      <c r="S57" s="41" t="s">
        <v>532</v>
      </c>
      <c r="U57" s="41" t="s">
        <v>533</v>
      </c>
      <c r="W57" s="125"/>
      <c r="X57" s="322">
        <f>H13*3</f>
        <v>0</v>
      </c>
      <c r="AA57" s="307">
        <v>0.0</v>
      </c>
      <c r="AD57" s="18"/>
      <c r="AE57" s="172"/>
      <c r="AF57" s="172"/>
      <c r="AG57" s="172"/>
      <c r="AH57" s="175" t="s">
        <v>241</v>
      </c>
      <c r="AI57" s="172"/>
      <c r="AJ57" s="172"/>
      <c r="AK57" s="172"/>
      <c r="AL57" s="172"/>
      <c r="AM57" s="173"/>
      <c r="AN57" s="172">
        <f>MAX(AO43:AO55)</f>
        <v>0</v>
      </c>
      <c r="AO57" s="172" t="str">
        <f>(VLOOKUP(AN57,AO44:AP55,2,FALSE))</f>
        <v/>
      </c>
      <c r="AP57" s="172"/>
      <c r="AQ57" s="172"/>
      <c r="AR57" s="323"/>
      <c r="AS57" s="218"/>
    </row>
    <row r="58">
      <c r="A58" s="285"/>
      <c r="B58" s="18"/>
      <c r="C58" s="324" t="s">
        <v>534</v>
      </c>
      <c r="D58" s="325" t="s">
        <v>26</v>
      </c>
      <c r="E58" s="325" t="s">
        <v>26</v>
      </c>
      <c r="F58" s="325" t="s">
        <v>26</v>
      </c>
      <c r="G58" s="325" t="s">
        <v>26</v>
      </c>
      <c r="H58" s="316" t="s">
        <v>59</v>
      </c>
      <c r="I58" s="326"/>
      <c r="O58" s="18"/>
      <c r="P58" s="90"/>
      <c r="R58" s="90"/>
      <c r="S58" s="90"/>
      <c r="U58" s="90"/>
      <c r="W58" s="164"/>
      <c r="AD58" s="18"/>
      <c r="AE58" s="172"/>
      <c r="AF58" s="172"/>
      <c r="AG58" s="172"/>
      <c r="AH58" s="175" t="s">
        <v>241</v>
      </c>
      <c r="AI58" s="172"/>
      <c r="AJ58" s="172"/>
      <c r="AK58" s="172"/>
      <c r="AL58" s="172"/>
      <c r="AM58" s="172"/>
      <c r="AN58" s="172">
        <f>MAX(AO44:AO46)</f>
        <v>0</v>
      </c>
      <c r="AO58" s="172" t="str">
        <f>(VLOOKUP(AN58,AO44:AP46,2,FALSE))</f>
        <v/>
      </c>
      <c r="AP58" s="172"/>
      <c r="AQ58" s="172">
        <f>IF(AQ59=AO69,0,AR58)</f>
        <v>0</v>
      </c>
      <c r="AR58" s="323">
        <f>IF(AR59&lt;1,0,IF(AR59&lt;3,1,IF(AR59&lt;6,2,IF(AR59&lt;10,3,IF(AR59&lt;15,4,IF(AR59&lt;21,5,IF(AR59&lt;28,6,IF(AR59&lt;36,7,0))))))))</f>
        <v>0</v>
      </c>
      <c r="AS58" s="218"/>
    </row>
    <row r="59">
      <c r="A59" s="285"/>
      <c r="B59" s="18"/>
      <c r="C59" s="324" t="s">
        <v>535</v>
      </c>
      <c r="D59" s="327" t="s">
        <v>26</v>
      </c>
      <c r="E59" s="327" t="s">
        <v>26</v>
      </c>
      <c r="F59" s="327" t="s">
        <v>26</v>
      </c>
      <c r="G59" s="327" t="s">
        <v>26</v>
      </c>
      <c r="H59" s="316" t="s">
        <v>59</v>
      </c>
      <c r="I59" s="328" t="s">
        <v>11</v>
      </c>
      <c r="O59" s="18"/>
      <c r="P59" s="46"/>
      <c r="R59" s="46"/>
      <c r="S59" s="46"/>
      <c r="U59" s="46"/>
      <c r="W59" s="125"/>
      <c r="X59" s="16" t="s">
        <v>536</v>
      </c>
      <c r="AD59" s="18"/>
      <c r="AE59" s="172"/>
      <c r="AF59" s="175" t="s">
        <v>537</v>
      </c>
      <c r="AG59" s="172"/>
      <c r="AH59" s="172"/>
      <c r="AI59" s="172">
        <f>MAX(AG56,AG57,AG58)</f>
        <v>0</v>
      </c>
      <c r="AJ59" s="172" t="str">
        <f>(VLOOKUP(AI59,AG56:AH58,2,FALSE))</f>
        <v>shd</v>
      </c>
      <c r="AK59" s="172">
        <f>MAX(AG57:AG58)</f>
        <v>0</v>
      </c>
      <c r="AL59" s="172"/>
      <c r="AM59" s="172"/>
      <c r="AN59" s="172"/>
      <c r="AO59" s="175" t="s">
        <v>98</v>
      </c>
      <c r="AP59" s="172"/>
      <c r="AQ59" s="173" t="str">
        <f>VLOOKUP(LARGE(AQ60:AR68,2),AQ60:AR68,2,FALSE)</f>
        <v/>
      </c>
      <c r="AR59" s="323">
        <f>IF(ISNA(VLOOKUP(AQ59,$X$27:$Y$49,2,FALSE)),0,VLOOKUP(AQ59,$X$27:$Y$49,2,FALSE))</f>
        <v>0</v>
      </c>
      <c r="AS59" s="218"/>
    </row>
    <row r="60">
      <c r="A60" s="285"/>
      <c r="B60" s="18"/>
      <c r="C60" s="324" t="s">
        <v>538</v>
      </c>
      <c r="D60" s="327" t="s">
        <v>26</v>
      </c>
      <c r="E60" s="327" t="s">
        <v>26</v>
      </c>
      <c r="F60" s="327" t="s">
        <v>26</v>
      </c>
      <c r="G60" s="327" t="s">
        <v>26</v>
      </c>
      <c r="H60" s="316" t="s">
        <v>59</v>
      </c>
      <c r="I60" s="329" t="s">
        <v>8</v>
      </c>
      <c r="M60" s="329" t="s">
        <v>11</v>
      </c>
      <c r="N60" s="329" t="s">
        <v>539</v>
      </c>
      <c r="O60" s="18"/>
      <c r="P60" s="90"/>
      <c r="R60" s="90"/>
      <c r="S60" s="90"/>
      <c r="U60" s="90"/>
      <c r="W60" s="330"/>
      <c r="X60" s="41" t="s">
        <v>540</v>
      </c>
      <c r="AA60" s="153">
        <f>IF(C20&lt;1,0,IF(C20&lt;3,"1 (Only understands basic phrases)",IF(C20&lt;6,2+AD50,IF(C20&lt;10,3+AD50,IF(C20&lt;13,4+AD50,IF(C20&lt;20,5,"All"))))))</f>
        <v>2</v>
      </c>
      <c r="AD60" s="18"/>
      <c r="AE60" s="172"/>
      <c r="AF60" s="175" t="s">
        <v>541</v>
      </c>
      <c r="AG60" s="172"/>
      <c r="AH60" s="172"/>
      <c r="AI60" s="172"/>
      <c r="AJ60" s="172"/>
      <c r="AK60" s="172">
        <f>MAX(AG54,AG55)</f>
        <v>0</v>
      </c>
      <c r="AL60" s="172"/>
      <c r="AM60" s="173"/>
      <c r="AN60" s="172"/>
      <c r="AO60" s="172">
        <f>IF(ISNA(VLOOKUP("Concentration",X27:Y50,2,FALSE)),0,VLOOKUP("Concentration",X27:Y50,2,FALSE))</f>
        <v>0</v>
      </c>
      <c r="AP60" s="172" t="str">
        <f>IF(AO60=0,"","Concentration")</f>
        <v/>
      </c>
      <c r="AQ60" s="172">
        <f t="shared" ref="AQ60:AQ68" si="19">IF(ISNA(VLOOKUP(AR60,$X$27:$Y$49,2,FALSE)),0,VLOOKUP(AR60,$X$27:$Y$49,2,FALSE))</f>
        <v>0</v>
      </c>
      <c r="AR60" s="331" t="str">
        <f>IFERROR(__xludf.DUMMYFUNCTION("IF(ISNA(FILTER(AP60:AP68,AP60:AP68&lt;&gt;"""")),"""",FILTER(AP60:AP68,AP60:AP68&lt;&gt;""""))"),"")</f>
        <v/>
      </c>
      <c r="AS60" s="218"/>
    </row>
    <row r="61">
      <c r="A61" s="285"/>
      <c r="B61" s="18"/>
      <c r="C61" s="324" t="s">
        <v>542</v>
      </c>
      <c r="D61" s="327" t="s">
        <v>26</v>
      </c>
      <c r="E61" s="327" t="s">
        <v>26</v>
      </c>
      <c r="F61" s="327" t="s">
        <v>26</v>
      </c>
      <c r="G61" s="327" t="s">
        <v>26</v>
      </c>
      <c r="H61" s="316" t="s">
        <v>58</v>
      </c>
      <c r="I61" s="332" t="s">
        <v>543</v>
      </c>
      <c r="L61" s="333"/>
      <c r="M61" s="334">
        <f>P304+P302+P300+N61</f>
        <v>0</v>
      </c>
      <c r="N61" s="335"/>
      <c r="O61" s="18"/>
      <c r="P61" s="46"/>
      <c r="R61" s="46"/>
      <c r="S61" s="46"/>
      <c r="U61" s="46"/>
      <c r="W61" s="18"/>
      <c r="X61" s="336" t="s">
        <v>544</v>
      </c>
      <c r="Y61" s="337"/>
      <c r="Z61" s="337"/>
      <c r="AA61" s="336"/>
      <c r="AB61" s="337"/>
      <c r="AC61" s="337"/>
      <c r="AD61" s="18"/>
      <c r="AE61" s="172"/>
      <c r="AF61" s="172"/>
      <c r="AG61" s="172"/>
      <c r="AH61" s="172"/>
      <c r="AI61" s="172"/>
      <c r="AJ61" s="172">
        <f>IF(ISNA(VLOOKUP("Shields",X27:Y50,2,FALSE)),0,VLOOKUP("Shields",X27:Y50,2,FALSE))</f>
        <v>0</v>
      </c>
      <c r="AK61" s="338" t="s">
        <v>545</v>
      </c>
      <c r="AL61" s="172"/>
      <c r="AM61" s="172"/>
      <c r="AN61" s="172"/>
      <c r="AO61" s="172">
        <f>IF(ISNA(VLOOKUP("Meditation",X27:Y50,2,FALSE)),0,VLOOKUP("Meditation",X27:Y50,2,FALSE))</f>
        <v>0</v>
      </c>
      <c r="AP61" s="172" t="str">
        <f>IF(AO61=0,"","Meditation")</f>
        <v/>
      </c>
      <c r="AQ61" s="172">
        <f t="shared" si="19"/>
        <v>0</v>
      </c>
      <c r="AR61" s="323"/>
      <c r="AS61" s="218"/>
    </row>
    <row r="62">
      <c r="A62" s="285"/>
      <c r="B62" s="18"/>
      <c r="C62" s="324" t="s">
        <v>546</v>
      </c>
      <c r="D62" s="327" t="s">
        <v>26</v>
      </c>
      <c r="E62" s="327" t="s">
        <v>26</v>
      </c>
      <c r="F62" s="327" t="s">
        <v>26</v>
      </c>
      <c r="G62" s="327" t="s">
        <v>26</v>
      </c>
      <c r="H62" s="316" t="s">
        <v>59</v>
      </c>
      <c r="L62" s="333"/>
      <c r="M62" s="333"/>
      <c r="O62" s="18"/>
      <c r="P62" s="90"/>
      <c r="R62" s="90"/>
      <c r="S62" s="90"/>
      <c r="U62" s="90"/>
      <c r="W62" s="18"/>
      <c r="X62" s="336" t="s">
        <v>547</v>
      </c>
      <c r="Y62" s="337"/>
      <c r="Z62" s="337"/>
      <c r="AA62" s="339"/>
      <c r="AB62" s="337"/>
      <c r="AC62" s="337"/>
      <c r="AD62" s="18"/>
      <c r="AE62" s="172"/>
      <c r="AF62" s="172"/>
      <c r="AG62" s="175" t="s">
        <v>506</v>
      </c>
      <c r="AH62" s="175" t="s">
        <v>548</v>
      </c>
      <c r="AI62" s="172"/>
      <c r="AJ62" s="172">
        <f>IF(AJ61&gt;0,AI59,AK59)</f>
        <v>0</v>
      </c>
      <c r="AK62" s="172"/>
      <c r="AL62" s="172"/>
      <c r="AM62" s="172"/>
      <c r="AN62" s="172"/>
      <c r="AO62" s="172">
        <f>IF(ISNA(VLOOKUP("Bravery",X27:Y50,2,FALSE)),0,VLOOKUP("Bravery",X27:Y50,2,FALSE))</f>
        <v>0</v>
      </c>
      <c r="AP62" s="172" t="str">
        <f>IF(AO62=0,"","Bravery")</f>
        <v/>
      </c>
      <c r="AQ62" s="172">
        <f t="shared" si="19"/>
        <v>0</v>
      </c>
      <c r="AR62" s="323"/>
      <c r="AS62" s="218"/>
    </row>
    <row r="63">
      <c r="A63" s="285"/>
      <c r="B63" s="18"/>
      <c r="C63" s="324" t="s">
        <v>549</v>
      </c>
      <c r="D63" s="327" t="s">
        <v>26</v>
      </c>
      <c r="E63" s="327" t="s">
        <v>26</v>
      </c>
      <c r="F63" s="327" t="s">
        <v>26</v>
      </c>
      <c r="G63" s="327" t="s">
        <v>26</v>
      </c>
      <c r="H63" s="316" t="s">
        <v>59</v>
      </c>
      <c r="I63" s="340" t="str">
        <f>IFERROR(__xludf.DUMMYFUNCTION("IF(ISNA(FILTER(S126:S203,S126:S203&lt;&gt;"""")),"""",FILTER(S126:S203,S126:S203&lt;&gt;""""))"),"Natural")</f>
        <v>Natural</v>
      </c>
      <c r="J63" s="341"/>
      <c r="K63" s="341"/>
      <c r="L63" s="342"/>
      <c r="M63" s="343">
        <f>IF(I63="","",IF(I63=S126,T126+(U126+V126)+N63+G142+H142))</f>
        <v>0</v>
      </c>
      <c r="N63" s="344"/>
      <c r="O63" s="18"/>
      <c r="P63" s="46"/>
      <c r="R63" s="46"/>
      <c r="S63" s="46"/>
      <c r="U63" s="46"/>
      <c r="W63" s="345"/>
      <c r="X63" s="336" t="s">
        <v>550</v>
      </c>
      <c r="Y63" s="337"/>
      <c r="Z63" s="337"/>
      <c r="AA63" s="339"/>
      <c r="AB63" s="337"/>
      <c r="AC63" s="337"/>
      <c r="AD63" s="18"/>
      <c r="AE63" s="172"/>
      <c r="AF63" s="172"/>
      <c r="AG63" s="172">
        <f>IF(ISNA(VLOOKUP(B176,X27:Y50,2,FALSE)),0,VLOOKUP(B176,X27:Y50,2,FALSE))</f>
        <v>0</v>
      </c>
      <c r="AH63" s="172">
        <f>IF(AG63&lt;1,0,IF(AG63&lt;3,1,IF(AG63&lt;6,2,IF(AG63&lt;10,3,IF(AG63&lt;15,4,IF(AG63&lt;21,5,IF(AG63&lt;28,6,IF(AG63&lt;36,7,0))))))))</f>
        <v>0</v>
      </c>
      <c r="AI63" s="172"/>
      <c r="AJ63" s="172"/>
      <c r="AK63" s="172"/>
      <c r="AL63" s="172"/>
      <c r="AM63" s="172"/>
      <c r="AN63" s="172"/>
      <c r="AO63" s="172">
        <f>IF(ISNA(VLOOKUP("Discipline",X27:Y50,2,FALSE)),0,VLOOKUP("Discipline",X27:Y50,2,FALSE))</f>
        <v>0</v>
      </c>
      <c r="AP63" s="172" t="str">
        <f>IF(AO63=0,"","Discipline")</f>
        <v/>
      </c>
      <c r="AQ63" s="172">
        <f t="shared" si="19"/>
        <v>0</v>
      </c>
      <c r="AR63" s="323"/>
      <c r="AS63" s="218"/>
    </row>
    <row r="64">
      <c r="A64" s="285"/>
      <c r="B64" s="18"/>
      <c r="C64" s="324" t="s">
        <v>551</v>
      </c>
      <c r="D64" s="327" t="s">
        <v>26</v>
      </c>
      <c r="E64" s="327" t="s">
        <v>26</v>
      </c>
      <c r="F64" s="327" t="s">
        <v>26</v>
      </c>
      <c r="G64" s="327" t="s">
        <v>26</v>
      </c>
      <c r="H64" s="316" t="s">
        <v>59</v>
      </c>
      <c r="I64" s="346" t="s">
        <v>371</v>
      </c>
      <c r="J64" s="341"/>
      <c r="K64" s="341"/>
      <c r="L64" s="342"/>
      <c r="M64" s="347">
        <f t="shared" ref="M64:M91" si="20">IF(I64="","",IF($M$61&gt;$M$63,IF(I64=S127,$M$61+T127+(U127+V127)+N64+IF(I64="Heat",$L$136,0)+IF(I64="Sonic",$M$63-$M$61,0)),IF(I64=S127,$M$63+T127+N64+IF(I64="Heat",$L$136,0))))</f>
        <v>0</v>
      </c>
      <c r="N64" s="348"/>
      <c r="O64" s="18"/>
      <c r="P64" s="90"/>
      <c r="R64" s="90"/>
      <c r="S64" s="90"/>
      <c r="U64" s="90"/>
      <c r="W64" s="18"/>
      <c r="X64" s="41" t="s">
        <v>552</v>
      </c>
      <c r="AA64" s="153" t="str">
        <f>IF(C20=0,"Braindead",IF(C20=1,"Dumb Animal",IF(C20=2,"Bright Animal",IF(C20=3,"Human Child",IF(C20=4,"Average Adult Human",IF(C20=5,"Smart Human",IF(C20&lt;9,"Bright Human",IF(C20=9,"Brilliant Human",IF(C20=10,"Academic Leader",IF(C20=11,"Gifted",IF(C20=12,"Genius",IF(C20=13,"Notable Genius",IF(C20=14,"Extraordinary Genius",IF(C20=15,"Savant",IF(C20&lt;20,"Savant","Supra-genius")))))))))))))))</f>
        <v>Human Child</v>
      </c>
      <c r="AD64" s="18"/>
      <c r="AE64" s="172"/>
      <c r="AF64" s="172"/>
      <c r="AG64" s="175" t="s">
        <v>241</v>
      </c>
      <c r="AH64" s="172"/>
      <c r="AI64" s="172"/>
      <c r="AJ64" s="172"/>
      <c r="AK64" s="172"/>
      <c r="AL64" s="172"/>
      <c r="AM64" s="172"/>
      <c r="AN64" s="172"/>
      <c r="AO64" s="172">
        <f>IF(ISNA(VLOOKUP("Religion",X27:Y50,2,FALSE)),0,VLOOKUP("Religion",X27:Y50,2,FALSE))</f>
        <v>0</v>
      </c>
      <c r="AP64" s="172" t="str">
        <f>IF(AO64=0,"","Religion")</f>
        <v/>
      </c>
      <c r="AQ64" s="172">
        <f t="shared" si="19"/>
        <v>0</v>
      </c>
      <c r="AR64" s="323"/>
      <c r="AS64" s="218"/>
    </row>
    <row r="65">
      <c r="A65" s="285"/>
      <c r="B65" s="18"/>
      <c r="C65" s="324" t="s">
        <v>553</v>
      </c>
      <c r="D65" s="327" t="s">
        <v>26</v>
      </c>
      <c r="E65" s="327" t="s">
        <v>26</v>
      </c>
      <c r="F65" s="327" t="s">
        <v>26</v>
      </c>
      <c r="G65" s="327" t="s">
        <v>26</v>
      </c>
      <c r="H65" s="316" t="s">
        <v>59</v>
      </c>
      <c r="I65" s="340" t="s">
        <v>389</v>
      </c>
      <c r="J65" s="341"/>
      <c r="K65" s="341"/>
      <c r="L65" s="342"/>
      <c r="M65" s="343">
        <f t="shared" si="20"/>
        <v>0</v>
      </c>
      <c r="N65" s="344"/>
      <c r="O65" s="18"/>
      <c r="P65" s="46"/>
      <c r="R65" s="46"/>
      <c r="S65" s="46"/>
      <c r="U65" s="46"/>
      <c r="W65" s="18"/>
      <c r="X65" s="16" t="s">
        <v>569</v>
      </c>
      <c r="AD65" s="18"/>
      <c r="AE65" s="172"/>
      <c r="AF65" s="172"/>
      <c r="AG65" s="172"/>
      <c r="AH65" s="172"/>
      <c r="AI65" s="172"/>
      <c r="AJ65" s="172"/>
      <c r="AK65" s="172"/>
      <c r="AL65" s="175" t="s">
        <v>570</v>
      </c>
      <c r="AM65" s="172"/>
      <c r="AN65" s="172"/>
      <c r="AO65" s="172">
        <f>IF(ISNA(VLOOKUP("Conviction",X27:Y50,2,FALSE)),0,VLOOKUP("",X27:Y50,2,FALSE))</f>
        <v>0</v>
      </c>
      <c r="AP65" s="172" t="str">
        <f>IF(AO65=0,"","Conviction")</f>
        <v/>
      </c>
      <c r="AQ65" s="172">
        <f t="shared" si="19"/>
        <v>0</v>
      </c>
      <c r="AR65" s="323"/>
      <c r="AS65" s="218"/>
    </row>
    <row r="66">
      <c r="A66" s="285"/>
      <c r="B66" s="18"/>
      <c r="C66" s="324" t="s">
        <v>571</v>
      </c>
      <c r="D66" s="327" t="s">
        <v>26</v>
      </c>
      <c r="E66" s="327" t="s">
        <v>26</v>
      </c>
      <c r="F66" s="327" t="s">
        <v>26</v>
      </c>
      <c r="G66" s="327" t="s">
        <v>26</v>
      </c>
      <c r="H66" s="316" t="s">
        <v>58</v>
      </c>
      <c r="I66" s="346" t="s">
        <v>406</v>
      </c>
      <c r="J66" s="341"/>
      <c r="K66" s="341"/>
      <c r="L66" s="342"/>
      <c r="M66" s="347">
        <f t="shared" si="20"/>
        <v>0</v>
      </c>
      <c r="N66" s="348"/>
      <c r="O66" s="18"/>
      <c r="P66" s="90"/>
      <c r="R66" s="90"/>
      <c r="S66" s="90"/>
      <c r="U66" s="90"/>
      <c r="W66" s="18"/>
      <c r="X66" s="354"/>
      <c r="AD66" s="18"/>
      <c r="AE66" s="172"/>
      <c r="AF66" s="172"/>
      <c r="AG66" s="175" t="s">
        <v>506</v>
      </c>
      <c r="AH66" s="172"/>
      <c r="AI66" s="172"/>
      <c r="AJ66" s="172"/>
      <c r="AK66" s="172"/>
      <c r="AL66" s="172"/>
      <c r="AM66" s="172"/>
      <c r="AN66" s="172"/>
      <c r="AO66" s="172">
        <f>IF(ISNA(VLOOKUP("Leadership",X27:Y50,2,FALSE)),0,VLOOKUP("Leadership",X27:Y50,2,FALSE))</f>
        <v>0</v>
      </c>
      <c r="AP66" s="172" t="str">
        <f>IF(AO66=0,"","Leadership")</f>
        <v/>
      </c>
      <c r="AQ66" s="172">
        <f t="shared" si="19"/>
        <v>0</v>
      </c>
      <c r="AR66" s="323"/>
      <c r="AS66" s="218"/>
    </row>
    <row r="67">
      <c r="A67" s="285"/>
      <c r="B67" s="18"/>
      <c r="C67" s="324" t="s">
        <v>572</v>
      </c>
      <c r="D67" s="327" t="s">
        <v>26</v>
      </c>
      <c r="E67" s="327" t="s">
        <v>26</v>
      </c>
      <c r="F67" s="327" t="s">
        <v>26</v>
      </c>
      <c r="G67" s="327" t="s">
        <v>26</v>
      </c>
      <c r="H67" s="316" t="s">
        <v>59</v>
      </c>
      <c r="I67" s="340" t="s">
        <v>214</v>
      </c>
      <c r="J67" s="341"/>
      <c r="K67" s="341"/>
      <c r="L67" s="342"/>
      <c r="M67" s="343">
        <f t="shared" si="20"/>
        <v>0</v>
      </c>
      <c r="N67" s="344"/>
      <c r="O67" s="18"/>
      <c r="P67" s="46"/>
      <c r="R67" s="46"/>
      <c r="S67" s="46"/>
      <c r="U67" s="46"/>
      <c r="W67" s="18"/>
      <c r="AD67" s="18"/>
      <c r="AE67" s="172"/>
      <c r="AF67" s="172"/>
      <c r="AG67" s="172"/>
      <c r="AH67" s="172"/>
      <c r="AI67" s="172"/>
      <c r="AJ67" s="172"/>
      <c r="AK67" s="172"/>
      <c r="AL67" s="175" t="s">
        <v>177</v>
      </c>
      <c r="AM67" s="172"/>
      <c r="AN67" s="172"/>
      <c r="AO67" s="172">
        <f>IF(ISNA(VLOOKUP("Psychology",X27:Y50,2,FALSE)),0,VLOOKUP("Psychology",X27:Y50,2,FALSE))</f>
        <v>0</v>
      </c>
      <c r="AP67" s="172" t="str">
        <f>IF(AO67=0,"","Psychology")</f>
        <v/>
      </c>
      <c r="AQ67" s="172">
        <f t="shared" si="19"/>
        <v>0</v>
      </c>
      <c r="AR67" s="323"/>
      <c r="AS67" s="218"/>
    </row>
    <row r="68">
      <c r="A68" s="285"/>
      <c r="B68" s="18"/>
      <c r="C68" s="324" t="s">
        <v>573</v>
      </c>
      <c r="D68" s="327" t="s">
        <v>26</v>
      </c>
      <c r="E68" s="327" t="s">
        <v>26</v>
      </c>
      <c r="F68" s="327" t="s">
        <v>26</v>
      </c>
      <c r="G68" s="327" t="s">
        <v>26</v>
      </c>
      <c r="H68" s="316" t="s">
        <v>57</v>
      </c>
      <c r="I68" s="346" t="s">
        <v>185</v>
      </c>
      <c r="J68" s="341"/>
      <c r="K68" s="341"/>
      <c r="L68" s="342"/>
      <c r="M68" s="347">
        <f t="shared" si="20"/>
        <v>0</v>
      </c>
      <c r="N68" s="348"/>
      <c r="O68" s="18"/>
      <c r="P68" s="90"/>
      <c r="R68" s="90"/>
      <c r="S68" s="90"/>
      <c r="U68" s="90"/>
      <c r="W68" s="18"/>
      <c r="X68" s="354"/>
      <c r="AD68" s="18"/>
      <c r="AE68" s="172"/>
      <c r="AF68" s="172"/>
      <c r="AG68" s="175" t="s">
        <v>241</v>
      </c>
      <c r="AH68" s="172"/>
      <c r="AI68" s="172"/>
      <c r="AJ68" s="172"/>
      <c r="AK68" s="172"/>
      <c r="AL68" s="172">
        <f>IF(AJ70=1,AG56,0)</f>
        <v>0</v>
      </c>
      <c r="AM68" s="172"/>
      <c r="AN68" s="172"/>
      <c r="AO68" s="172">
        <f>IF(ISNA(VLOOKUP("Rulership",X27:Y50,2,FALSE)),0,VLOOKUP("Rulership",X27:Y50,2,FALSE))</f>
        <v>0</v>
      </c>
      <c r="AP68" s="172" t="str">
        <f>IF(AO68=0,"","Rulership")</f>
        <v/>
      </c>
      <c r="AQ68" s="172">
        <f t="shared" si="19"/>
        <v>0</v>
      </c>
      <c r="AR68" s="323"/>
      <c r="AS68" s="218"/>
    </row>
    <row r="69">
      <c r="A69" s="285"/>
      <c r="B69" s="18"/>
      <c r="C69" s="324" t="s">
        <v>574</v>
      </c>
      <c r="D69" s="327" t="s">
        <v>26</v>
      </c>
      <c r="E69" s="355" t="s">
        <v>26</v>
      </c>
      <c r="F69" s="327" t="s">
        <v>26</v>
      </c>
      <c r="G69" s="327" t="s">
        <v>26</v>
      </c>
      <c r="H69" s="316" t="s">
        <v>58</v>
      </c>
      <c r="I69" s="340" t="s">
        <v>444</v>
      </c>
      <c r="J69" s="341"/>
      <c r="K69" s="341"/>
      <c r="L69" s="342"/>
      <c r="M69" s="343">
        <f t="shared" si="20"/>
        <v>0</v>
      </c>
      <c r="N69" s="344"/>
      <c r="O69" s="18"/>
      <c r="P69" s="46"/>
      <c r="R69" s="46"/>
      <c r="S69" s="46"/>
      <c r="U69" s="46"/>
      <c r="W69" s="18"/>
      <c r="AD69" s="18"/>
      <c r="AE69" s="172"/>
      <c r="AF69" s="172"/>
      <c r="AG69" s="172"/>
      <c r="AH69" s="172"/>
      <c r="AI69" s="172"/>
      <c r="AJ69" s="172"/>
      <c r="AK69" s="172"/>
      <c r="AL69" s="172"/>
      <c r="AM69" s="172"/>
      <c r="AN69" s="172">
        <f>MAX(AO60:AO68)</f>
        <v>0</v>
      </c>
      <c r="AO69" s="172" t="str">
        <f>(VLOOKUP(AN69,AO60:AP68,2,FALSE))</f>
        <v/>
      </c>
      <c r="AP69" s="172"/>
      <c r="AQ69" s="172"/>
      <c r="AR69" s="323" t="str">
        <f>IFERROR(__xludf.DUMMYFUNCTION("IF(ISNA(FILTER(AR60:AR68,AR60:AR68&lt;&gt;"""")),"""",FILTER(AR60:AR68,AR60:AR68&lt;&gt;""""))"),"")</f>
        <v/>
      </c>
      <c r="AS69" s="218"/>
    </row>
    <row r="70">
      <c r="A70" s="285"/>
      <c r="B70" s="18"/>
      <c r="C70" s="324" t="s">
        <v>575</v>
      </c>
      <c r="D70" s="327" t="s">
        <v>26</v>
      </c>
      <c r="E70" s="327" t="s">
        <v>26</v>
      </c>
      <c r="F70" s="327" t="s">
        <v>26</v>
      </c>
      <c r="G70" s="327" t="s">
        <v>26</v>
      </c>
      <c r="H70" s="316" t="s">
        <v>58</v>
      </c>
      <c r="I70" s="346" t="s">
        <v>208</v>
      </c>
      <c r="J70" s="341"/>
      <c r="K70" s="341"/>
      <c r="L70" s="342"/>
      <c r="M70" s="347">
        <f t="shared" si="20"/>
        <v>0</v>
      </c>
      <c r="N70" s="348"/>
      <c r="O70" s="18"/>
      <c r="P70" s="90"/>
      <c r="R70" s="90"/>
      <c r="S70" s="90"/>
      <c r="U70" s="90"/>
      <c r="W70" s="18"/>
      <c r="X70" s="354"/>
      <c r="AD70" s="18"/>
      <c r="AE70" s="172"/>
      <c r="AF70" s="172"/>
      <c r="AG70" s="175" t="s">
        <v>525</v>
      </c>
      <c r="AH70" s="172"/>
      <c r="AI70" s="172"/>
      <c r="AJ70" s="172">
        <f>IF(AH71&lt;AG56,0,1)</f>
        <v>1</v>
      </c>
      <c r="AK70" s="172"/>
      <c r="AL70" s="172"/>
      <c r="AM70" s="172"/>
      <c r="AN70" s="172"/>
      <c r="AO70" s="356" t="s">
        <v>155</v>
      </c>
      <c r="AP70" s="172"/>
      <c r="AQ70" s="172">
        <f t="shared" ref="AQ70:AQ76" si="21">IF(ISNA(VLOOKUP(AR70,$X$27:$Y$49,2,FALSE)),0,VLOOKUP(AR70,$X$27:$Y$49,2,FALSE))</f>
        <v>0</v>
      </c>
      <c r="AR70" s="323"/>
      <c r="AS70" s="218"/>
    </row>
    <row r="71">
      <c r="A71" s="285"/>
      <c r="B71" s="18"/>
      <c r="C71" s="324" t="s">
        <v>576</v>
      </c>
      <c r="D71" s="327" t="s">
        <v>26</v>
      </c>
      <c r="E71" s="357" t="s">
        <v>26</v>
      </c>
      <c r="F71" s="327" t="s">
        <v>26</v>
      </c>
      <c r="G71" s="327" t="s">
        <v>26</v>
      </c>
      <c r="H71" s="316" t="s">
        <v>59</v>
      </c>
      <c r="I71" s="340" t="s">
        <v>186</v>
      </c>
      <c r="J71" s="341"/>
      <c r="K71" s="341"/>
      <c r="L71" s="342"/>
      <c r="M71" s="343">
        <f t="shared" si="20"/>
        <v>0</v>
      </c>
      <c r="N71" s="344"/>
      <c r="O71" s="18"/>
      <c r="P71" s="46"/>
      <c r="R71" s="46"/>
      <c r="S71" s="46"/>
      <c r="U71" s="46"/>
      <c r="W71" s="18"/>
      <c r="AD71" s="18"/>
      <c r="AE71" s="172"/>
      <c r="AF71" s="172"/>
      <c r="AG71" s="172"/>
      <c r="AH71" s="172">
        <f>IF(AG71&lt;1,0,IF(AG71&lt;3,1,IF(AG71&lt;6,2,IF(AG71&lt;10,3,IF(AG71&lt;15,4,IF(AG71&lt;21,5,IF(AG71&lt;28,6,IF(AG71&lt;36,7,0))))))))</f>
        <v>0</v>
      </c>
      <c r="AI71" s="172"/>
      <c r="AJ71" s="172"/>
      <c r="AK71" s="172"/>
      <c r="AL71" s="172"/>
      <c r="AM71" s="172"/>
      <c r="AN71" s="172"/>
      <c r="AO71" s="358">
        <f>IF(ISNA(VLOOKUP("Tactics",X27:Y50,2,FALSE)),0,VLOOKUP("Tactics",X27:Y50,2,FALSE))</f>
        <v>0</v>
      </c>
      <c r="AP71" s="172" t="str">
        <f>IF(AO71=0,"","Tactics")</f>
        <v/>
      </c>
      <c r="AQ71" s="172">
        <f t="shared" si="21"/>
        <v>0</v>
      </c>
      <c r="AR71" s="323"/>
      <c r="AS71" s="218"/>
    </row>
    <row r="72">
      <c r="A72" s="285"/>
      <c r="B72" s="18"/>
      <c r="C72" s="324" t="s">
        <v>577</v>
      </c>
      <c r="D72" s="327" t="s">
        <v>26</v>
      </c>
      <c r="E72" s="327" t="s">
        <v>26</v>
      </c>
      <c r="F72" s="327" t="s">
        <v>26</v>
      </c>
      <c r="G72" s="327" t="s">
        <v>26</v>
      </c>
      <c r="H72" s="316" t="s">
        <v>58</v>
      </c>
      <c r="I72" s="346" t="s">
        <v>217</v>
      </c>
      <c r="J72" s="341"/>
      <c r="K72" s="341"/>
      <c r="L72" s="342"/>
      <c r="M72" s="347">
        <f t="shared" si="20"/>
        <v>0</v>
      </c>
      <c r="N72" s="348"/>
      <c r="O72" s="18"/>
      <c r="P72" s="90"/>
      <c r="R72" s="90"/>
      <c r="S72" s="90"/>
      <c r="U72" s="90"/>
      <c r="W72" s="18"/>
      <c r="X72" s="354"/>
      <c r="AD72" s="18"/>
      <c r="AE72" s="172"/>
      <c r="AF72" s="174"/>
      <c r="AG72" s="172"/>
      <c r="AH72" s="172"/>
      <c r="AI72" s="172"/>
      <c r="AJ72" s="172"/>
      <c r="AK72" s="172" t="str">
        <f>MID(O296,5,2)</f>
        <v/>
      </c>
      <c r="AL72" s="172">
        <f>VALUE(AK72)</f>
        <v>0</v>
      </c>
      <c r="AM72" s="172" t="str">
        <f>MID(O296,1,3)</f>
        <v/>
      </c>
      <c r="AN72" s="175" t="s">
        <v>578</v>
      </c>
      <c r="AO72" s="358">
        <f>IF(ISNA(VLOOKUP("Reactions",X27:Y50,2,FALSE)),0,VLOOKUP("Reactions",X27:Y50,2,FALSE))</f>
        <v>0</v>
      </c>
      <c r="AP72" s="172" t="str">
        <f>IF(AO72=0,"","Reactions")</f>
        <v/>
      </c>
      <c r="AQ72" s="172">
        <f t="shared" si="21"/>
        <v>0</v>
      </c>
      <c r="AR72" s="323"/>
      <c r="AS72" s="218"/>
    </row>
    <row r="73">
      <c r="A73" s="285"/>
      <c r="B73" s="18"/>
      <c r="C73" s="324" t="s">
        <v>579</v>
      </c>
      <c r="D73" s="327" t="s">
        <v>26</v>
      </c>
      <c r="E73" s="327" t="s">
        <v>26</v>
      </c>
      <c r="F73" s="327" t="s">
        <v>26</v>
      </c>
      <c r="G73" s="327" t="s">
        <v>26</v>
      </c>
      <c r="H73" s="316" t="s">
        <v>58</v>
      </c>
      <c r="I73" s="340" t="s">
        <v>174</v>
      </c>
      <c r="J73" s="341"/>
      <c r="K73" s="341"/>
      <c r="L73" s="342"/>
      <c r="M73" s="343">
        <f t="shared" si="20"/>
        <v>0</v>
      </c>
      <c r="N73" s="344"/>
      <c r="O73" s="18"/>
      <c r="P73" s="16" t="s">
        <v>580</v>
      </c>
      <c r="W73" s="18"/>
      <c r="AD73" s="18"/>
      <c r="AE73" s="172"/>
      <c r="AF73" s="175" t="s">
        <v>581</v>
      </c>
      <c r="AG73" s="172">
        <f>IF(D105="Improvised",-2,IF(D105="Standard",0,IF(D105="High",1,IF(D105="Exceptional",2,IF(D105="Mastercraft",3,IF(D105="Artisanal",4,IF(D105="Legendary",5,0)))))))</f>
        <v>0</v>
      </c>
      <c r="AH73" s="172"/>
      <c r="AI73" s="175" t="s">
        <v>506</v>
      </c>
      <c r="AJ73" s="359"/>
      <c r="AK73" s="172"/>
      <c r="AL73" s="175" t="s">
        <v>582</v>
      </c>
      <c r="AM73" s="172"/>
      <c r="AN73" s="172" t="str">
        <f>IF(O292="","",IF(ISNA(CONCATENATE(AM74,"+",AL74+VLOOKUP(N292,AH92:AI95,2,FALSE))),"",CONCATENATE(AM74,"+",AL74+VLOOKUP(N292,AH92:AI95,2,FALSE))))</f>
        <v/>
      </c>
      <c r="AO73" s="358" t="str">
        <f>(VLOOKUP(AO74,AO71:AP72,2,FALSE))</f>
        <v/>
      </c>
      <c r="AP73" s="173"/>
      <c r="AQ73" s="172">
        <f t="shared" si="21"/>
        <v>0</v>
      </c>
      <c r="AR73" s="323"/>
      <c r="AS73" s="218"/>
    </row>
    <row r="74">
      <c r="A74" s="285"/>
      <c r="B74" s="18"/>
      <c r="C74" s="324" t="s">
        <v>583</v>
      </c>
      <c r="D74" s="327" t="s">
        <v>26</v>
      </c>
      <c r="E74" s="327" t="s">
        <v>26</v>
      </c>
      <c r="F74" s="327" t="s">
        <v>26</v>
      </c>
      <c r="G74" s="327" t="s">
        <v>26</v>
      </c>
      <c r="H74" s="316" t="s">
        <v>59</v>
      </c>
      <c r="I74" s="346" t="s">
        <v>229</v>
      </c>
      <c r="J74" s="341"/>
      <c r="K74" s="341"/>
      <c r="L74" s="342"/>
      <c r="M74" s="347">
        <f t="shared" si="20"/>
        <v>0</v>
      </c>
      <c r="N74" s="348"/>
      <c r="O74" s="18"/>
      <c r="P74" s="59"/>
      <c r="R74" s="45"/>
      <c r="S74" s="59"/>
      <c r="U74" s="45"/>
      <c r="W74" s="18"/>
      <c r="X74" s="354"/>
      <c r="AD74" s="18"/>
      <c r="AE74" s="172"/>
      <c r="AF74" s="175" t="s">
        <v>273</v>
      </c>
      <c r="AG74" s="172">
        <f>AK39+AG73+IF(ISNA(VLOOKUP(E105,AO79:AQ104,3,FALSE)),0,VLOOKUP(E105,AO79:AQ104,3,FALSE))</f>
        <v>0</v>
      </c>
      <c r="AH74" s="172"/>
      <c r="AI74" s="175" t="s">
        <v>241</v>
      </c>
      <c r="AJ74" s="172"/>
      <c r="AK74" s="172" t="str">
        <f>MID(O292,5,2)</f>
        <v/>
      </c>
      <c r="AL74" s="172">
        <f t="shared" ref="AL74:AL79" si="22">VALUE(AK74)</f>
        <v>0</v>
      </c>
      <c r="AM74" s="174" t="str">
        <f>MID(O292,1,3)</f>
        <v/>
      </c>
      <c r="AN74" s="224" t="s">
        <v>584</v>
      </c>
      <c r="AO74" s="360">
        <f>MAX(AO71:AO72)</f>
        <v>0</v>
      </c>
      <c r="AP74" s="172"/>
      <c r="AQ74" s="172">
        <f t="shared" si="21"/>
        <v>0</v>
      </c>
      <c r="AR74" s="323"/>
      <c r="AS74" s="218"/>
    </row>
    <row r="75">
      <c r="A75" s="285"/>
      <c r="B75" s="18"/>
      <c r="C75" s="324" t="s">
        <v>585</v>
      </c>
      <c r="D75" s="327" t="s">
        <v>26</v>
      </c>
      <c r="E75" s="327" t="s">
        <v>26</v>
      </c>
      <c r="F75" s="327" t="s">
        <v>26</v>
      </c>
      <c r="G75" s="327" t="s">
        <v>26</v>
      </c>
      <c r="H75" s="316" t="s">
        <v>58</v>
      </c>
      <c r="I75" s="340" t="s">
        <v>179</v>
      </c>
      <c r="J75" s="341"/>
      <c r="K75" s="341"/>
      <c r="L75" s="342"/>
      <c r="M75" s="343">
        <f t="shared" si="20"/>
        <v>0</v>
      </c>
      <c r="N75" s="344"/>
      <c r="O75" s="18"/>
      <c r="P75" s="16" t="s">
        <v>586</v>
      </c>
      <c r="W75" s="18"/>
      <c r="AD75" s="18"/>
      <c r="AE75" s="172"/>
      <c r="AF75" s="361" t="s">
        <v>581</v>
      </c>
      <c r="AG75" s="172">
        <f>IF(D107="Improvised",-2,IF(D107="Standard",0,IF(D107="High",1,IF(D107="Exceptional",2,IF(D107="Mastercraft",3,IF(D107="Artisanal",4,IF(D107="Legendary",5,0)))))))</f>
        <v>0</v>
      </c>
      <c r="AH75" s="172"/>
      <c r="AI75" s="175" t="s">
        <v>506</v>
      </c>
      <c r="AJ75" s="172"/>
      <c r="AK75" s="172" t="str">
        <f>MID(O294,5,2)</f>
        <v/>
      </c>
      <c r="AL75" s="172">
        <f t="shared" si="22"/>
        <v>0</v>
      </c>
      <c r="AM75" s="174" t="str">
        <f>MID(O294,1,3)</f>
        <v/>
      </c>
      <c r="AN75" s="175" t="s">
        <v>587</v>
      </c>
      <c r="AO75" s="172"/>
      <c r="AP75" s="172"/>
      <c r="AQ75" s="172">
        <f t="shared" si="21"/>
        <v>0</v>
      </c>
      <c r="AR75" s="323"/>
      <c r="AS75" s="218"/>
    </row>
    <row r="76">
      <c r="A76" s="285"/>
      <c r="B76" s="18"/>
      <c r="C76" s="324" t="s">
        <v>588</v>
      </c>
      <c r="D76" s="362" t="s">
        <v>26</v>
      </c>
      <c r="E76" s="362" t="s">
        <v>26</v>
      </c>
      <c r="F76" s="362" t="s">
        <v>26</v>
      </c>
      <c r="G76" s="362" t="s">
        <v>26</v>
      </c>
      <c r="H76" s="316" t="s">
        <v>58</v>
      </c>
      <c r="I76" s="363" t="s">
        <v>218</v>
      </c>
      <c r="J76" s="87"/>
      <c r="K76" s="87"/>
      <c r="L76" s="364"/>
      <c r="M76" s="347">
        <f t="shared" si="20"/>
        <v>0</v>
      </c>
      <c r="N76" s="365"/>
      <c r="O76" s="18"/>
      <c r="P76" s="59"/>
      <c r="R76" s="46"/>
      <c r="S76" s="90"/>
      <c r="U76" s="46"/>
      <c r="W76" s="18"/>
      <c r="X76" s="354"/>
      <c r="AD76" s="18"/>
      <c r="AE76" s="172"/>
      <c r="AF76" s="175" t="s">
        <v>275</v>
      </c>
      <c r="AG76" s="172">
        <f>AK40+AG75+IF(ISNA(VLOOKUP(E107,AO79:AQ104,3,FALSE)),0,VLOOKUP(E107,AO79:AQ104,3,FALSE))</f>
        <v>0</v>
      </c>
      <c r="AH76" s="172"/>
      <c r="AI76" s="175" t="s">
        <v>241</v>
      </c>
      <c r="AJ76" s="172"/>
      <c r="AK76" s="172" t="str">
        <f>MID(O298,5,2)</f>
        <v/>
      </c>
      <c r="AL76" s="172">
        <f t="shared" si="22"/>
        <v>0</v>
      </c>
      <c r="AM76" s="174" t="str">
        <f>MID(O298,1,3)</f>
        <v/>
      </c>
      <c r="AN76" s="175" t="s">
        <v>525</v>
      </c>
      <c r="AO76" s="175"/>
      <c r="AP76" s="172"/>
      <c r="AQ76" s="172">
        <f t="shared" si="21"/>
        <v>0</v>
      </c>
      <c r="AR76" s="323"/>
      <c r="AS76" s="218"/>
    </row>
    <row r="77">
      <c r="A77" s="285"/>
      <c r="B77" s="18"/>
      <c r="C77" s="143" t="s">
        <v>589</v>
      </c>
      <c r="E77" s="321" t="s">
        <v>590</v>
      </c>
      <c r="F77" s="321" t="s">
        <v>591</v>
      </c>
      <c r="G77" s="321" t="s">
        <v>592</v>
      </c>
      <c r="H77" s="316"/>
      <c r="I77" s="340" t="s">
        <v>200</v>
      </c>
      <c r="J77" s="341"/>
      <c r="K77" s="341"/>
      <c r="L77" s="342"/>
      <c r="M77" s="343">
        <f t="shared" si="20"/>
        <v>0</v>
      </c>
      <c r="N77" s="366"/>
      <c r="O77" s="18"/>
      <c r="P77" s="16" t="s">
        <v>593</v>
      </c>
      <c r="W77" s="18"/>
      <c r="AD77" s="18"/>
      <c r="AE77" s="172"/>
      <c r="AF77" s="172"/>
      <c r="AG77" s="172"/>
      <c r="AH77" s="175" t="s">
        <v>241</v>
      </c>
      <c r="AI77" s="175" t="s">
        <v>537</v>
      </c>
      <c r="AJ77" s="172"/>
      <c r="AK77" s="172" t="str">
        <f>MID(F105,5,2)</f>
        <v/>
      </c>
      <c r="AL77" s="172">
        <f t="shared" si="22"/>
        <v>0</v>
      </c>
      <c r="AM77" s="174" t="str">
        <f>MID(F105,1,3)</f>
        <v/>
      </c>
      <c r="AN77" s="175" t="s">
        <v>273</v>
      </c>
      <c r="AO77" s="356" t="s">
        <v>594</v>
      </c>
      <c r="AP77" s="172"/>
      <c r="AQ77" s="172"/>
      <c r="AR77" s="323"/>
      <c r="AS77" s="218"/>
    </row>
    <row r="78">
      <c r="A78" s="285"/>
      <c r="B78" s="18"/>
      <c r="C78" s="16" t="s">
        <v>318</v>
      </c>
      <c r="H78" s="316"/>
      <c r="I78" s="363" t="s">
        <v>475</v>
      </c>
      <c r="J78" s="87"/>
      <c r="K78" s="87"/>
      <c r="L78" s="364"/>
      <c r="M78" s="347">
        <f t="shared" si="20"/>
        <v>0</v>
      </c>
      <c r="N78" s="367"/>
      <c r="O78" s="18"/>
      <c r="P78" s="368" t="s">
        <v>595</v>
      </c>
      <c r="T78" s="368" t="s">
        <v>596</v>
      </c>
      <c r="W78" s="18"/>
      <c r="X78" s="354"/>
      <c r="AD78" s="18"/>
      <c r="AE78" s="172"/>
      <c r="AF78" s="172"/>
      <c r="AG78" s="172"/>
      <c r="AH78" s="172"/>
      <c r="AI78" s="175" t="s">
        <v>541</v>
      </c>
      <c r="AJ78" s="172"/>
      <c r="AK78" s="172" t="str">
        <f>MID(F107,5,2)</f>
        <v/>
      </c>
      <c r="AL78" s="172">
        <f t="shared" si="22"/>
        <v>0</v>
      </c>
      <c r="AM78" s="174" t="str">
        <f>MID(F107,1,3)</f>
        <v/>
      </c>
      <c r="AN78" s="175" t="s">
        <v>275</v>
      </c>
      <c r="AO78" s="369" t="s">
        <v>526</v>
      </c>
      <c r="AP78" s="172"/>
      <c r="AQ78" s="172">
        <f t="shared" ref="AQ78:AQ105" si="23">IF(AP78&lt;1,0,IF(AP78&lt;3,1,IF(AP78&lt;6,2,IF(AP78&lt;10,3,IF(AP78&lt;15,4,IF(AP78&lt;21,5,IF(AP78&lt;28,6,IF(AP78&lt;36,7,0))))))))</f>
        <v>0</v>
      </c>
      <c r="AR78" s="331" t="str">
        <f>IF(ISNA(CONCATENATE(#REF!,"+",IF(#REF!="Ranged",AL78+VLOOKUP(#REF!,$AH$92:$AI$95,2,FALSE),IF(#REF!="Melee",AL78+VLOOKUP(#REF!,AP44:AQ55,2,FALSE))))),CONCATENATE(#REF!,"+",IF(#REF!="Ranged",AL78+VLOOKUP(#REF!,$AH$92:$AI$95,2,FALSE),IF(#REF!="Melee",AL78+VLOOKUP(#REF!,AP44:AQ55,2,FALSE)))),"")</f>
        <v/>
      </c>
      <c r="AS78" s="218"/>
    </row>
    <row r="79">
      <c r="A79" s="285"/>
      <c r="B79" s="18"/>
      <c r="C79" s="370" t="s">
        <v>324</v>
      </c>
      <c r="D79" s="371"/>
      <c r="E79" s="370" t="s">
        <v>325</v>
      </c>
      <c r="F79" s="370" t="s">
        <v>326</v>
      </c>
      <c r="G79" s="370" t="s">
        <v>327</v>
      </c>
      <c r="H79" s="316"/>
      <c r="I79" s="340" t="s">
        <v>507</v>
      </c>
      <c r="J79" s="341"/>
      <c r="K79" s="341"/>
      <c r="L79" s="342"/>
      <c r="M79" s="343">
        <f t="shared" si="20"/>
        <v>0</v>
      </c>
      <c r="N79" s="372"/>
      <c r="O79" s="18"/>
      <c r="P79" s="373" t="s">
        <v>597</v>
      </c>
      <c r="T79" s="151" t="s">
        <v>598</v>
      </c>
      <c r="U79" s="41">
        <v>5.0</v>
      </c>
      <c r="V79" s="153">
        <f>AF103</f>
        <v>0</v>
      </c>
      <c r="W79" s="18"/>
      <c r="AD79" s="18"/>
      <c r="AE79" s="172"/>
      <c r="AF79" s="175" t="s">
        <v>581</v>
      </c>
      <c r="AG79" s="172">
        <f>IF(ISNA(M298=VLOOKUP(M298,'Stat Modification'!Y3:Z38,1,FALSE)),0,IF(M298=VLOOKUP(M298,'Stat Modification'!Y3:Z38,1,FALSE),VLOOKUP(M298,'Stat Modification'!Y3:Z38,2,FALSE),0))</f>
        <v>0</v>
      </c>
      <c r="AH79" s="175" t="s">
        <v>506</v>
      </c>
      <c r="AI79" s="175" t="s">
        <v>537</v>
      </c>
      <c r="AJ79" s="172"/>
      <c r="AK79" s="172"/>
      <c r="AL79" s="172">
        <f t="shared" si="22"/>
        <v>0</v>
      </c>
      <c r="AM79" s="174"/>
      <c r="AN79" s="175"/>
      <c r="AO79" s="358" t="str">
        <f t="array" ref="AO79:AO87">INDEX(AP47:AP55,0,0)</f>
        <v/>
      </c>
      <c r="AP79" s="172">
        <f t="shared" ref="AP79:AP105" si="24">IF(ISNA(VLOOKUP(AO79,$X$27:$Y$49,2,FALSE)),0,VLOOKUP(AO79,$X$27:$Y$49,2,FALSE))</f>
        <v>0</v>
      </c>
      <c r="AQ79" s="172">
        <f t="shared" si="23"/>
        <v>0</v>
      </c>
      <c r="AR79" s="323"/>
      <c r="AS79" s="218"/>
    </row>
    <row r="80">
      <c r="A80" s="285"/>
      <c r="B80" s="18"/>
      <c r="C80" s="45" t="s">
        <v>341</v>
      </c>
      <c r="E80" s="46" t="str">
        <f>VLOOKUP(C80,'Stat Modification'!D3:J100,2,FALSE)</f>
        <v/>
      </c>
      <c r="F80" s="46" t="str">
        <f>VLOOKUP(C80,'Stat Modification'!D3:J100,3,FALSE)</f>
        <v/>
      </c>
      <c r="G80" s="45" t="str">
        <f>VLOOKUP(C80,'Stat Modification'!D3:J100,4,FALSE)</f>
        <v/>
      </c>
      <c r="H80" s="316"/>
      <c r="I80" s="363" t="s">
        <v>510</v>
      </c>
      <c r="J80" s="87"/>
      <c r="K80" s="87"/>
      <c r="L80" s="364"/>
      <c r="M80" s="347">
        <f t="shared" si="20"/>
        <v>0</v>
      </c>
      <c r="N80" s="367"/>
      <c r="O80" s="18"/>
      <c r="T80" s="151" t="s">
        <v>109</v>
      </c>
      <c r="U80" s="41">
        <v>10.0</v>
      </c>
      <c r="V80" s="153">
        <f>AN95</f>
        <v>0</v>
      </c>
      <c r="W80" s="18"/>
      <c r="X80" s="354"/>
      <c r="AD80" s="18"/>
      <c r="AE80" s="172"/>
      <c r="AF80" s="175" t="s">
        <v>525</v>
      </c>
      <c r="AG80" s="172">
        <f>AJ34+AG79+IF(ISNA(VLOOKUP(N298,AO79:AQ104,3,FALSE)),0,VLOOKUP(N298,AO79:AQ104,3,FALSE))</f>
        <v>2</v>
      </c>
      <c r="AH80" s="172"/>
      <c r="AI80" s="175" t="s">
        <v>541</v>
      </c>
      <c r="AJ80" s="172"/>
      <c r="AK80" s="175">
        <v>1.0</v>
      </c>
      <c r="AL80" s="175">
        <v>4.0</v>
      </c>
      <c r="AM80" s="172"/>
      <c r="AN80" s="172"/>
      <c r="AO80" s="358" t="s">
        <v>495</v>
      </c>
      <c r="AP80" s="172">
        <f t="shared" si="24"/>
        <v>0</v>
      </c>
      <c r="AQ80" s="172">
        <f t="shared" si="23"/>
        <v>0</v>
      </c>
      <c r="AR80" s="323"/>
      <c r="AS80" s="218"/>
    </row>
    <row r="81">
      <c r="A81" s="285"/>
      <c r="B81" s="18"/>
      <c r="C81" s="41" t="s">
        <v>328</v>
      </c>
      <c r="E81" s="41" t="s">
        <v>331</v>
      </c>
      <c r="F81" s="41" t="s">
        <v>330</v>
      </c>
      <c r="G81" s="41"/>
      <c r="H81" s="18"/>
      <c r="I81" s="340" t="s">
        <v>513</v>
      </c>
      <c r="J81" s="341"/>
      <c r="K81" s="341"/>
      <c r="L81" s="342"/>
      <c r="M81" s="343">
        <f t="shared" si="20"/>
        <v>0</v>
      </c>
      <c r="N81" s="374"/>
      <c r="O81" s="18"/>
      <c r="P81" s="375" t="s">
        <v>599</v>
      </c>
      <c r="T81" s="151" t="s">
        <v>600</v>
      </c>
      <c r="U81" s="153">
        <f>IF(P3="Venetian",4,IF(P3="Spartans",4,3))</f>
        <v>3</v>
      </c>
      <c r="V81" s="153">
        <f t="shared" ref="V81:V82" si="25">AN98</f>
        <v>0</v>
      </c>
      <c r="W81" s="18"/>
      <c r="AD81" s="18"/>
      <c r="AE81" s="172"/>
      <c r="AF81" s="172"/>
      <c r="AG81" s="175" t="s">
        <v>581</v>
      </c>
      <c r="AH81" s="172">
        <f>IF(ISNA(M292=VLOOKUP(M292,'Stat Modification'!Y3:Z38,1,FALSE)),0,IF(M292=VLOOKUP(M292,'Stat Modification'!Y3:Z38,1,FALSE),VLOOKUP(M292,'Stat Modification'!Y3:Z38,2,FALSE),0))</f>
        <v>0</v>
      </c>
      <c r="AI81" s="172"/>
      <c r="AJ81" s="172"/>
      <c r="AK81" s="175">
        <v>2.0</v>
      </c>
      <c r="AL81" s="175">
        <v>7.0</v>
      </c>
      <c r="AM81" s="172"/>
      <c r="AN81" s="172"/>
      <c r="AO81" s="358" t="s">
        <v>495</v>
      </c>
      <c r="AP81" s="172">
        <f t="shared" si="24"/>
        <v>0</v>
      </c>
      <c r="AQ81" s="172">
        <f t="shared" si="23"/>
        <v>0</v>
      </c>
      <c r="AR81" s="323"/>
      <c r="AS81" s="218"/>
    </row>
    <row r="82">
      <c r="A82" s="285"/>
      <c r="B82" s="18"/>
      <c r="C82" s="46" t="str">
        <f>VLOOKUP(C80,'Stat Modification'!D3:J100,5,FALSE)</f>
        <v/>
      </c>
      <c r="E82" s="46" t="str">
        <f>VLOOKUP(C80,'Stat Modification'!D3:J100,6,FALSE)</f>
        <v/>
      </c>
      <c r="F82" s="46" t="str">
        <f>VLOOKUP(C80,'Stat Modification'!D3:J100,7,FALSE)</f>
        <v/>
      </c>
      <c r="G82" s="46"/>
      <c r="H82" s="18"/>
      <c r="I82" s="363" t="s">
        <v>257</v>
      </c>
      <c r="J82" s="87"/>
      <c r="K82" s="87"/>
      <c r="L82" s="364"/>
      <c r="M82" s="347">
        <f t="shared" si="20"/>
        <v>0</v>
      </c>
      <c r="N82" s="367"/>
      <c r="O82" s="18"/>
      <c r="T82" s="151" t="s">
        <v>601</v>
      </c>
      <c r="U82" s="41">
        <v>1.0</v>
      </c>
      <c r="V82" s="153">
        <f t="shared" si="25"/>
        <v>0</v>
      </c>
      <c r="W82" s="18"/>
      <c r="X82" s="354"/>
      <c r="AD82" s="18"/>
      <c r="AE82" s="172"/>
      <c r="AF82" s="172"/>
      <c r="AG82" s="175" t="s">
        <v>271</v>
      </c>
      <c r="AH82" s="172">
        <f>AK38+AH81+IF(ISNA(VLOOKUP(N292,AO79:AQ104,3,FALSE)),0,VLOOKUP(N292,AO79:AQ104,3,FALSE))</f>
        <v>0</v>
      </c>
      <c r="AI82" s="172"/>
      <c r="AJ82" s="172"/>
      <c r="AK82" s="175">
        <v>3.0</v>
      </c>
      <c r="AL82" s="175">
        <v>11.0</v>
      </c>
      <c r="AM82" s="172"/>
      <c r="AN82" s="172"/>
      <c r="AO82" s="358" t="s">
        <v>495</v>
      </c>
      <c r="AP82" s="172">
        <f t="shared" si="24"/>
        <v>0</v>
      </c>
      <c r="AQ82" s="172">
        <f t="shared" si="23"/>
        <v>0</v>
      </c>
      <c r="AR82" s="323"/>
      <c r="AS82" s="218"/>
    </row>
    <row r="83">
      <c r="A83" s="285"/>
      <c r="B83" s="18"/>
      <c r="C83" s="370" t="s">
        <v>324</v>
      </c>
      <c r="D83" s="371"/>
      <c r="E83" s="370" t="s">
        <v>325</v>
      </c>
      <c r="F83" s="370" t="s">
        <v>326</v>
      </c>
      <c r="G83" s="370" t="s">
        <v>327</v>
      </c>
      <c r="H83" s="18"/>
      <c r="I83" s="340" t="s">
        <v>258</v>
      </c>
      <c r="J83" s="341"/>
      <c r="K83" s="341"/>
      <c r="L83" s="342"/>
      <c r="M83" s="343">
        <f t="shared" si="20"/>
        <v>0</v>
      </c>
      <c r="N83" s="372"/>
      <c r="O83" s="18"/>
      <c r="T83" s="151" t="s">
        <v>602</v>
      </c>
      <c r="U83" s="41">
        <v>20.0</v>
      </c>
      <c r="V83" s="153">
        <f>SUM(AD5:AM9)</f>
        <v>0</v>
      </c>
      <c r="W83" s="18"/>
      <c r="AD83" s="18"/>
      <c r="AE83" s="172"/>
      <c r="AF83" s="172"/>
      <c r="AG83" s="361" t="s">
        <v>581</v>
      </c>
      <c r="AH83" s="172">
        <f>IF(ISNA(M294=VLOOKUP(M294,'Stat Modification'!Y3:Z38,1,FALSE)),0,IF(M294=VLOOKUP(M294,'Stat Modification'!Y3:Z38,1,FALSE),VLOOKUP(M294,'Stat Modification'!Y3:Z38,2,FALSE),0))</f>
        <v>0</v>
      </c>
      <c r="AI83" s="175" t="s">
        <v>581</v>
      </c>
      <c r="AJ83" s="172">
        <f>IF(ISNA(M296=VLOOKUP(M296,'Stat Modification'!Y3:Z38,1,FALSE)),0,IF(M296=VLOOKUP(M296,'Stat Modification'!Y3:Z38,1,FALSE),VLOOKUP(M296,'Stat Modification'!Y3:Z38,2,FALSE),0))</f>
        <v>0</v>
      </c>
      <c r="AK83" s="175">
        <v>4.0</v>
      </c>
      <c r="AL83" s="175">
        <v>14.0</v>
      </c>
      <c r="AM83" s="172"/>
      <c r="AN83" s="172"/>
      <c r="AO83" s="358" t="s">
        <v>495</v>
      </c>
      <c r="AP83" s="172">
        <f t="shared" si="24"/>
        <v>0</v>
      </c>
      <c r="AQ83" s="172">
        <f t="shared" si="23"/>
        <v>0</v>
      </c>
      <c r="AR83" s="323"/>
      <c r="AS83" s="218"/>
    </row>
    <row r="84">
      <c r="A84" s="285"/>
      <c r="B84" s="18"/>
      <c r="C84" s="45" t="s">
        <v>341</v>
      </c>
      <c r="E84" s="46" t="str">
        <f>VLOOKUP(C84,'Stat Modification'!D3:J100,2,FALSE)</f>
        <v/>
      </c>
      <c r="F84" s="46" t="str">
        <f>VLOOKUP(C84,'Stat Modification'!D3:J100,3,FALSE)</f>
        <v/>
      </c>
      <c r="G84" s="45" t="str">
        <f>VLOOKUP(C84,'Stat Modification'!D3:J100,4,FALSE)</f>
        <v/>
      </c>
      <c r="H84" s="18"/>
      <c r="I84" s="363" t="s">
        <v>517</v>
      </c>
      <c r="J84" s="87"/>
      <c r="K84" s="87"/>
      <c r="L84" s="364"/>
      <c r="M84" s="347">
        <f t="shared" si="20"/>
        <v>0</v>
      </c>
      <c r="N84" s="365"/>
      <c r="O84" s="18"/>
      <c r="T84" s="151" t="s">
        <v>121</v>
      </c>
      <c r="U84" s="41">
        <v>2.0</v>
      </c>
      <c r="V84" s="153">
        <f>AN101</f>
        <v>0</v>
      </c>
      <c r="W84" s="18"/>
      <c r="X84" s="18"/>
      <c r="Y84" s="18"/>
      <c r="Z84" s="18"/>
      <c r="AA84" s="18"/>
      <c r="AB84" s="18"/>
      <c r="AC84" s="18"/>
      <c r="AD84" s="18"/>
      <c r="AE84" s="172"/>
      <c r="AF84" s="172"/>
      <c r="AG84" s="175" t="s">
        <v>603</v>
      </c>
      <c r="AH84" s="172">
        <f>AJ34+AH83+IF(ISNA(VLOOKUP(N294,AO79:AQ104,3,FALSE)),0,VLOOKUP(N294,AO79:AQ104,3,FALSE))</f>
        <v>2</v>
      </c>
      <c r="AI84" s="175" t="s">
        <v>260</v>
      </c>
      <c r="AJ84" s="172">
        <f>AK37+AJ83+IF(ISNA(VLOOKUP(N296,AO79:AQ104,3,FALSE)),0,VLOOKUP(N296,AO79:AQ104,3,FALSE))</f>
        <v>0</v>
      </c>
      <c r="AK84" s="175">
        <v>5.0</v>
      </c>
      <c r="AL84" s="175">
        <v>18.0</v>
      </c>
      <c r="AM84" s="172"/>
      <c r="AN84" s="172"/>
      <c r="AO84" s="358" t="s">
        <v>495</v>
      </c>
      <c r="AP84" s="172">
        <f t="shared" si="24"/>
        <v>0</v>
      </c>
      <c r="AQ84" s="172">
        <f t="shared" si="23"/>
        <v>0</v>
      </c>
      <c r="AR84" s="323"/>
      <c r="AS84" s="218"/>
    </row>
    <row r="85">
      <c r="A85" s="285"/>
      <c r="B85" s="138">
        <f>3+E15+AF106+SUM(AF5:AF21)</f>
        <v>3</v>
      </c>
      <c r="C85" s="41" t="s">
        <v>328</v>
      </c>
      <c r="E85" s="41" t="s">
        <v>331</v>
      </c>
      <c r="F85" s="41" t="s">
        <v>330</v>
      </c>
      <c r="G85" s="41"/>
      <c r="H85" s="18"/>
      <c r="I85" s="340"/>
      <c r="J85" s="341"/>
      <c r="K85" s="341"/>
      <c r="L85" s="342"/>
      <c r="M85" s="343" t="str">
        <f t="shared" si="20"/>
        <v/>
      </c>
      <c r="N85" s="374"/>
      <c r="O85" s="18"/>
      <c r="P85" s="376" t="s">
        <v>604</v>
      </c>
      <c r="T85" s="151" t="s">
        <v>605</v>
      </c>
      <c r="U85" s="41">
        <v>1.0</v>
      </c>
      <c r="V85" s="153"/>
      <c r="W85" s="18"/>
      <c r="X85" s="174"/>
      <c r="Y85" s="174"/>
      <c r="Z85" s="174"/>
      <c r="AA85" s="174"/>
      <c r="AB85" s="174"/>
      <c r="AC85" s="174"/>
      <c r="AD85" s="172"/>
      <c r="AE85" s="172"/>
      <c r="AF85" s="172"/>
      <c r="AG85" s="172"/>
      <c r="AH85" s="172"/>
      <c r="AI85" s="172"/>
      <c r="AJ85" s="172"/>
      <c r="AK85" s="175">
        <v>6.0</v>
      </c>
      <c r="AL85" s="175">
        <v>21.0</v>
      </c>
      <c r="AM85" s="172"/>
      <c r="AN85" s="172"/>
      <c r="AO85" s="358" t="s">
        <v>495</v>
      </c>
      <c r="AP85" s="172">
        <f t="shared" si="24"/>
        <v>0</v>
      </c>
      <c r="AQ85" s="172">
        <f t="shared" si="23"/>
        <v>0</v>
      </c>
      <c r="AR85" s="323"/>
      <c r="AS85" s="218"/>
    </row>
    <row r="86">
      <c r="A86" s="285"/>
      <c r="B86" s="18"/>
      <c r="C86" s="377" t="str">
        <f>VLOOKUP(C84,'Stat Modification'!D3:J100,5,FALSE)</f>
        <v/>
      </c>
      <c r="D86" s="378"/>
      <c r="E86" s="377" t="str">
        <f>VLOOKUP(C84,'Stat Modification'!D3:J100,6,FALSE)</f>
        <v/>
      </c>
      <c r="F86" s="377" t="str">
        <f>VLOOKUP(C84,'Stat Modification'!D3:J100,7,FALSE)</f>
        <v/>
      </c>
      <c r="G86" s="377"/>
      <c r="H86" s="379"/>
      <c r="I86" s="363"/>
      <c r="J86" s="87"/>
      <c r="K86" s="87"/>
      <c r="L86" s="364"/>
      <c r="M86" s="347" t="str">
        <f t="shared" si="20"/>
        <v/>
      </c>
      <c r="N86" s="365"/>
      <c r="O86" s="18"/>
      <c r="T86" s="151" t="s">
        <v>606</v>
      </c>
      <c r="U86" s="41">
        <v>1.0</v>
      </c>
      <c r="V86" s="153"/>
      <c r="W86" s="18"/>
      <c r="X86" s="174"/>
      <c r="Y86" s="174"/>
      <c r="Z86" s="174"/>
      <c r="AA86" s="174"/>
      <c r="AB86" s="174"/>
      <c r="AC86" s="174"/>
      <c r="AD86" s="172"/>
      <c r="AE86" s="172"/>
      <c r="AF86" s="172"/>
      <c r="AG86" s="175" t="s">
        <v>138</v>
      </c>
      <c r="AH86" s="175" t="s">
        <v>177</v>
      </c>
      <c r="AI86" s="175" t="s">
        <v>194</v>
      </c>
      <c r="AJ86" s="172"/>
      <c r="AK86" s="175">
        <v>7.0</v>
      </c>
      <c r="AL86" s="175">
        <v>25.0</v>
      </c>
      <c r="AM86" s="172"/>
      <c r="AN86" s="172"/>
      <c r="AO86" s="358" t="s">
        <v>495</v>
      </c>
      <c r="AP86" s="172">
        <f t="shared" si="24"/>
        <v>0</v>
      </c>
      <c r="AQ86" s="172">
        <f t="shared" si="23"/>
        <v>0</v>
      </c>
      <c r="AR86" s="323"/>
      <c r="AS86" s="218"/>
    </row>
    <row r="87">
      <c r="A87" s="285"/>
      <c r="B87" s="379"/>
      <c r="C87" s="380" t="s">
        <v>607</v>
      </c>
      <c r="H87" s="379"/>
      <c r="I87" s="340"/>
      <c r="J87" s="341"/>
      <c r="K87" s="341"/>
      <c r="L87" s="342"/>
      <c r="M87" s="343" t="str">
        <f t="shared" si="20"/>
        <v/>
      </c>
      <c r="N87" s="372"/>
      <c r="O87" s="18"/>
      <c r="P87" s="381" t="s">
        <v>608</v>
      </c>
      <c r="T87" s="382" t="s">
        <v>609</v>
      </c>
      <c r="U87" s="41">
        <v>1.0</v>
      </c>
      <c r="V87" s="153">
        <f>AN100</f>
        <v>0</v>
      </c>
      <c r="W87" s="18"/>
      <c r="X87" s="174"/>
      <c r="Y87" s="174"/>
      <c r="Z87" s="174"/>
      <c r="AA87" s="174"/>
      <c r="AB87" s="174"/>
      <c r="AC87" s="174"/>
      <c r="AD87" s="172"/>
      <c r="AE87" s="172"/>
      <c r="AF87" s="172"/>
      <c r="AG87" s="172">
        <f>AQ36</f>
        <v>10</v>
      </c>
      <c r="AH87" s="172">
        <f>AQ37</f>
        <v>10</v>
      </c>
      <c r="AI87" s="172">
        <f>AQ35+N136</f>
        <v>10</v>
      </c>
      <c r="AJ87" s="172"/>
      <c r="AK87" s="175">
        <v>8.0</v>
      </c>
      <c r="AL87" s="175">
        <v>28.0</v>
      </c>
      <c r="AM87" s="172"/>
      <c r="AN87" s="172"/>
      <c r="AO87" s="358" t="s">
        <v>495</v>
      </c>
      <c r="AP87" s="172">
        <f t="shared" si="24"/>
        <v>0</v>
      </c>
      <c r="AQ87" s="172">
        <f t="shared" si="23"/>
        <v>0</v>
      </c>
      <c r="AR87" s="323"/>
      <c r="AS87" s="218"/>
    </row>
    <row r="88">
      <c r="A88" s="285"/>
      <c r="B88" s="379"/>
      <c r="C88" s="383" t="s">
        <v>610</v>
      </c>
      <c r="E88" s="384">
        <f>B85</f>
        <v>3</v>
      </c>
      <c r="F88" s="385" t="s">
        <v>611</v>
      </c>
      <c r="H88" s="379"/>
      <c r="I88" s="363"/>
      <c r="J88" s="87"/>
      <c r="K88" s="87"/>
      <c r="L88" s="364"/>
      <c r="M88" s="347" t="str">
        <f t="shared" si="20"/>
        <v/>
      </c>
      <c r="N88" s="386"/>
      <c r="O88" s="18"/>
      <c r="P88" s="373" t="s">
        <v>612</v>
      </c>
      <c r="W88" s="18"/>
      <c r="X88" s="174"/>
      <c r="Y88" s="174"/>
      <c r="Z88" s="174"/>
      <c r="AA88" s="174"/>
      <c r="AB88" s="174"/>
      <c r="AC88" s="174"/>
      <c r="AD88" s="172"/>
      <c r="AE88" s="172"/>
      <c r="AF88" s="172"/>
      <c r="AG88" s="172">
        <f t="shared" ref="AG88:AI88" si="26">IF(AG87&gt;=AG89,AG89,AG87)</f>
        <v>10</v>
      </c>
      <c r="AH88" s="172">
        <f t="shared" si="26"/>
        <v>10</v>
      </c>
      <c r="AI88" s="172">
        <f t="shared" si="26"/>
        <v>10</v>
      </c>
      <c r="AJ88" s="172"/>
      <c r="AK88" s="175">
        <v>9.0</v>
      </c>
      <c r="AL88" s="175">
        <v>32.0</v>
      </c>
      <c r="AM88" s="172"/>
      <c r="AN88" s="172"/>
      <c r="AO88" s="358"/>
      <c r="AP88" s="172">
        <f t="shared" si="24"/>
        <v>0</v>
      </c>
      <c r="AQ88" s="172">
        <f t="shared" si="23"/>
        <v>0</v>
      </c>
      <c r="AR88" s="323"/>
      <c r="AS88" s="218"/>
    </row>
    <row r="89">
      <c r="A89" s="285"/>
      <c r="B89" s="379"/>
      <c r="F89" s="387">
        <f>E88+VLOOKUP(C92,'Stat Modification'!AB3:AE100,4,FALSE)+VLOOKUP(C94,'Stat Modification'!AB3:AE100,4,FALSE)+VLOOKUP(C96,'Stat Modification'!AB3:AE100,4,FALSE)+VLOOKUP(C98,'Stat Modification'!AB3:AE100,4,FALSE)+VLOOKUP(C100,'Stat Modification'!AB3:AE100,4,FALSE)+VLOOKUP(C102,'Stat Modification'!AB3:AE100,4,FALSE)+E138+F138</f>
        <v>3</v>
      </c>
      <c r="H89" s="379"/>
      <c r="I89" s="340"/>
      <c r="J89" s="341"/>
      <c r="K89" s="341"/>
      <c r="L89" s="342"/>
      <c r="M89" s="343" t="str">
        <f t="shared" si="20"/>
        <v/>
      </c>
      <c r="N89" s="344"/>
      <c r="O89" s="18"/>
      <c r="T89" s="157"/>
      <c r="U89" s="388"/>
      <c r="V89" s="388"/>
      <c r="W89" s="18"/>
      <c r="X89" s="174"/>
      <c r="Y89" s="174"/>
      <c r="Z89" s="174"/>
      <c r="AA89" s="174"/>
      <c r="AB89" s="174"/>
      <c r="AC89" s="174"/>
      <c r="AD89" s="172"/>
      <c r="AE89" s="172"/>
      <c r="AF89" s="172"/>
      <c r="AG89" s="172">
        <f>VLOOKUP(C6,AC376:AD439,2,0)</f>
        <v>18</v>
      </c>
      <c r="AH89" s="172">
        <f>VLOOKUP(C6,AC376:AD439,2,0)</f>
        <v>18</v>
      </c>
      <c r="AI89" s="172">
        <f>VLOOKUP($C$6,AC376:AD439,2,0)</f>
        <v>18</v>
      </c>
      <c r="AJ89" s="172"/>
      <c r="AK89" s="175">
        <v>10.0</v>
      </c>
      <c r="AL89" s="175">
        <v>35.0</v>
      </c>
      <c r="AM89" s="172"/>
      <c r="AN89" s="172"/>
      <c r="AO89" s="358" t="str">
        <f t="array" ref="AO89:AO92">INDEX(AJ92:AJ95)</f>
        <v/>
      </c>
      <c r="AP89" s="172">
        <f t="shared" si="24"/>
        <v>0</v>
      </c>
      <c r="AQ89" s="172">
        <f t="shared" si="23"/>
        <v>0</v>
      </c>
      <c r="AR89" s="323"/>
      <c r="AS89" s="218"/>
    </row>
    <row r="90">
      <c r="A90" s="285"/>
      <c r="B90" s="379"/>
      <c r="C90" s="379" t="str">
        <f>IF(F89&lt;0,"Too many alterations. Can not have that many implants","")</f>
        <v/>
      </c>
      <c r="H90" s="379"/>
      <c r="I90" s="363"/>
      <c r="J90" s="87"/>
      <c r="K90" s="87"/>
      <c r="L90" s="364"/>
      <c r="M90" s="347" t="str">
        <f t="shared" si="20"/>
        <v/>
      </c>
      <c r="N90" s="386"/>
      <c r="O90" s="18"/>
      <c r="P90" s="375" t="s">
        <v>613</v>
      </c>
      <c r="T90" s="376" t="s">
        <v>614</v>
      </c>
      <c r="W90" s="18"/>
      <c r="X90" s="174"/>
      <c r="Y90" s="174"/>
      <c r="Z90" s="174"/>
      <c r="AA90" s="174"/>
      <c r="AB90" s="174"/>
      <c r="AC90" s="174"/>
      <c r="AD90" s="172"/>
      <c r="AE90" s="172"/>
      <c r="AF90" s="172"/>
      <c r="AG90" s="172"/>
      <c r="AH90" s="172"/>
      <c r="AI90" s="172"/>
      <c r="AJ90" s="172"/>
      <c r="AK90" s="172"/>
      <c r="AL90" s="361">
        <v>39.0</v>
      </c>
      <c r="AM90" s="172">
        <f t="shared" ref="AM90:AN90" si="27">IF(ISTEXT(AP5),1,0)</f>
        <v>0</v>
      </c>
      <c r="AN90" s="172">
        <f t="shared" si="27"/>
        <v>0</v>
      </c>
      <c r="AO90" s="358" t="s">
        <v>495</v>
      </c>
      <c r="AP90" s="172">
        <f t="shared" si="24"/>
        <v>0</v>
      </c>
      <c r="AQ90" s="172">
        <f t="shared" si="23"/>
        <v>0</v>
      </c>
      <c r="AR90" s="217"/>
      <c r="AS90" s="218"/>
    </row>
    <row r="91">
      <c r="A91" s="285"/>
      <c r="B91" s="389" t="s">
        <v>2</v>
      </c>
      <c r="C91" s="35" t="s">
        <v>337</v>
      </c>
      <c r="E91" s="35" t="s">
        <v>19</v>
      </c>
      <c r="F91" s="35" t="s">
        <v>330</v>
      </c>
      <c r="H91" s="379"/>
      <c r="I91" s="340"/>
      <c r="J91" s="341"/>
      <c r="K91" s="341"/>
      <c r="L91" s="342"/>
      <c r="M91" s="343" t="str">
        <f t="shared" si="20"/>
        <v/>
      </c>
      <c r="N91" s="344"/>
      <c r="O91" s="18"/>
      <c r="W91" s="18"/>
      <c r="X91" s="174"/>
      <c r="Y91" s="174"/>
      <c r="Z91" s="174"/>
      <c r="AA91" s="174"/>
      <c r="AB91" s="174"/>
      <c r="AC91" s="174"/>
      <c r="AD91" s="172"/>
      <c r="AE91" s="172"/>
      <c r="AF91" s="172"/>
      <c r="AG91" s="172"/>
      <c r="AH91" s="172"/>
      <c r="AI91" s="172"/>
      <c r="AJ91" s="172"/>
      <c r="AK91" s="172"/>
      <c r="AL91" s="361">
        <v>42.0</v>
      </c>
      <c r="AM91" s="172">
        <f t="shared" ref="AM91:AN91" si="28">IF(ISTEXT(AP6),1,0)</f>
        <v>0</v>
      </c>
      <c r="AN91" s="172">
        <f t="shared" si="28"/>
        <v>0</v>
      </c>
      <c r="AO91" s="358" t="s">
        <v>495</v>
      </c>
      <c r="AP91" s="172">
        <f t="shared" si="24"/>
        <v>0</v>
      </c>
      <c r="AQ91" s="172">
        <f t="shared" si="23"/>
        <v>0</v>
      </c>
      <c r="AR91" s="217"/>
      <c r="AS91" s="218"/>
    </row>
    <row r="92">
      <c r="A92" s="285"/>
      <c r="B92" s="390">
        <v>1.0</v>
      </c>
      <c r="C92" s="5" t="s">
        <v>350</v>
      </c>
      <c r="E92" s="8" t="str">
        <f>VLOOKUP(C92,'Stat Modification'!AB3:AE100,2,FALSE)</f>
        <v/>
      </c>
      <c r="F92" s="391" t="str">
        <f>VLOOKUP(C92,'Stat Modification'!AB3:AE100,3,FALSE)</f>
        <v/>
      </c>
      <c r="H92" s="379"/>
      <c r="I92" s="392"/>
      <c r="J92" s="328" t="s">
        <v>615</v>
      </c>
      <c r="O92" s="18"/>
      <c r="W92" s="18"/>
      <c r="X92" s="174"/>
      <c r="Y92" s="174"/>
      <c r="Z92" s="174"/>
      <c r="AA92" s="174"/>
      <c r="AB92" s="174"/>
      <c r="AC92" s="174"/>
      <c r="AD92" s="172"/>
      <c r="AE92" s="172"/>
      <c r="AF92" s="172"/>
      <c r="AG92" s="175">
        <f>IF(ISNA(VLOOKUP("Rifles",X27:Y50,2,FALSE)),0,VLOOKUP("Rifles",X27:Y50,2,FALSE))</f>
        <v>0</v>
      </c>
      <c r="AH92" s="172">
        <f>IF(ISNA(VLOOKUP("Rifles",X27:Y50,1,FALSE)),0,VLOOKUP("Rifles",X27:Y50,1,FALSE))</f>
        <v>0</v>
      </c>
      <c r="AI92" s="172">
        <f t="shared" ref="AI92:AI95" si="30">IF(AG92&lt;1,0,IF(AG92&lt;3,1,IF(AG92&lt;6,2,IF(AG92&lt;10,3,IF(AG92&lt;15,4,IF(AG92&lt;21,5,IF(AG92&lt;28,6,IF(AG92&lt;36,7,0))))))))</f>
        <v>0</v>
      </c>
      <c r="AJ92" s="172" t="str">
        <f t="shared" ref="AJ92:AJ95" si="31">IF(AH92=0,"",AH92)</f>
        <v/>
      </c>
      <c r="AK92" s="172"/>
      <c r="AL92" s="361">
        <v>46.0</v>
      </c>
      <c r="AM92" s="172">
        <f t="shared" ref="AM92:AN92" si="29">IF(ISTEXT(AP7),1,0)</f>
        <v>0</v>
      </c>
      <c r="AN92" s="172">
        <f t="shared" si="29"/>
        <v>0</v>
      </c>
      <c r="AO92" s="358" t="s">
        <v>495</v>
      </c>
      <c r="AP92" s="172">
        <f t="shared" si="24"/>
        <v>0</v>
      </c>
      <c r="AQ92" s="172">
        <f t="shared" si="23"/>
        <v>0</v>
      </c>
      <c r="AR92" s="217"/>
      <c r="AS92" s="218"/>
    </row>
    <row r="93">
      <c r="A93" s="285"/>
      <c r="B93" s="393"/>
      <c r="C93" s="35" t="s">
        <v>337</v>
      </c>
      <c r="E93" s="35" t="s">
        <v>19</v>
      </c>
      <c r="F93" s="35" t="s">
        <v>330</v>
      </c>
      <c r="H93" s="379"/>
      <c r="I93" s="392"/>
      <c r="J93" s="394" t="s">
        <v>616</v>
      </c>
      <c r="O93" s="18"/>
      <c r="P93" s="373" t="s">
        <v>617</v>
      </c>
      <c r="T93" s="43" t="s">
        <v>618</v>
      </c>
      <c r="W93" s="18"/>
      <c r="X93" s="174"/>
      <c r="Y93" s="174"/>
      <c r="Z93" s="174"/>
      <c r="AA93" s="174"/>
      <c r="AB93" s="174"/>
      <c r="AC93" s="174"/>
      <c r="AD93" s="172"/>
      <c r="AE93" s="172"/>
      <c r="AF93" s="172"/>
      <c r="AG93" s="175">
        <f>IF(ISNA(VLOOKUP("Pistols",X27:Y50,2,FALSE)),0,VLOOKUP("Pistols",X27:Y50,2,FALSE))</f>
        <v>0</v>
      </c>
      <c r="AH93" s="175">
        <f>IF(ISNA(VLOOKUP("Pistols",X27:Y50,1,FALSE)),0,VLOOKUP("Pistols",X27:Y50,1,FALSE))</f>
        <v>0</v>
      </c>
      <c r="AI93" s="172">
        <f t="shared" si="30"/>
        <v>0</v>
      </c>
      <c r="AJ93" s="172" t="str">
        <f t="shared" si="31"/>
        <v/>
      </c>
      <c r="AK93" s="172"/>
      <c r="AL93" s="174"/>
      <c r="AM93" s="172">
        <f t="shared" ref="AM93:AN93" si="32">IF(ISTEXT(AP8),1,0)</f>
        <v>0</v>
      </c>
      <c r="AN93" s="172">
        <f t="shared" si="32"/>
        <v>0</v>
      </c>
      <c r="AO93" s="358"/>
      <c r="AP93" s="172">
        <f t="shared" si="24"/>
        <v>0</v>
      </c>
      <c r="AQ93" s="172">
        <f t="shared" si="23"/>
        <v>0</v>
      </c>
      <c r="AR93" s="217"/>
      <c r="AS93" s="218"/>
    </row>
    <row r="94">
      <c r="A94" s="285"/>
      <c r="B94" s="390">
        <v>1.0</v>
      </c>
      <c r="C94" s="5" t="s">
        <v>350</v>
      </c>
      <c r="E94" s="8" t="str">
        <f>VLOOKUP(C94,'Stat Modification'!AB3:AE100,2,FALSE)</f>
        <v/>
      </c>
      <c r="F94" s="391" t="str">
        <f>VLOOKUP(C94,'Stat Modification'!AB3:AE100,3,FALSE)</f>
        <v/>
      </c>
      <c r="H94" s="379"/>
      <c r="I94" s="392"/>
      <c r="J94" s="395" t="s">
        <v>619</v>
      </c>
      <c r="M94" s="396" t="s">
        <v>26</v>
      </c>
      <c r="O94" s="392"/>
      <c r="W94" s="18"/>
      <c r="X94" s="174"/>
      <c r="Y94" s="174"/>
      <c r="Z94" s="174"/>
      <c r="AA94" s="174"/>
      <c r="AB94" s="174"/>
      <c r="AC94" s="174"/>
      <c r="AD94" s="172"/>
      <c r="AE94" s="172"/>
      <c r="AF94" s="172"/>
      <c r="AG94" s="175">
        <f>IF(ISNA(VLOOKUP("Heavy Weapons",X27:Y50,2,FALSE)),0,VLOOKUP("Heavy Weapons",X27:Y50,2,FALSE))</f>
        <v>0</v>
      </c>
      <c r="AH94" s="175">
        <f>IF(ISNA(VLOOKUP("Heavy Weapons",X27:Y50,1,FALSE)),0,VLOOKUP("Heavy Weapons",X27:Y50,1,FALSE))</f>
        <v>0</v>
      </c>
      <c r="AI94" s="172">
        <f t="shared" si="30"/>
        <v>0</v>
      </c>
      <c r="AJ94" s="172" t="str">
        <f t="shared" si="31"/>
        <v/>
      </c>
      <c r="AK94" s="172"/>
      <c r="AL94" s="174"/>
      <c r="AM94" s="172">
        <f t="shared" ref="AM94:AN94" si="33">IF(ISTEXT(AP9),1,0)</f>
        <v>0</v>
      </c>
      <c r="AN94" s="172">
        <f t="shared" si="33"/>
        <v>0</v>
      </c>
      <c r="AO94" s="358"/>
      <c r="AP94" s="172">
        <f t="shared" si="24"/>
        <v>0</v>
      </c>
      <c r="AQ94" s="172">
        <f t="shared" si="23"/>
        <v>0</v>
      </c>
      <c r="AR94" s="217"/>
      <c r="AS94" s="218"/>
    </row>
    <row r="95">
      <c r="A95" s="285"/>
      <c r="B95" s="393"/>
      <c r="C95" s="35" t="s">
        <v>337</v>
      </c>
      <c r="E95" s="35" t="s">
        <v>19</v>
      </c>
      <c r="F95" s="35" t="s">
        <v>330</v>
      </c>
      <c r="H95" s="379"/>
      <c r="I95" s="392"/>
      <c r="J95" s="397" t="s">
        <v>620</v>
      </c>
      <c r="M95" s="398" t="s">
        <v>26</v>
      </c>
      <c r="O95" s="392"/>
      <c r="T95" s="376" t="s">
        <v>621</v>
      </c>
      <c r="W95" s="18"/>
      <c r="X95" s="174"/>
      <c r="Y95" s="174"/>
      <c r="Z95" s="174"/>
      <c r="AA95" s="174"/>
      <c r="AB95" s="174"/>
      <c r="AC95" s="174"/>
      <c r="AD95" s="172"/>
      <c r="AE95" s="172"/>
      <c r="AF95" s="172"/>
      <c r="AG95" s="175">
        <f>IF(ISNA(VLOOKUP("Bows",X28:Y51,2,FALSE)),0,VLOOKUP("Bows",X28:Y51,2,FALSE))</f>
        <v>0</v>
      </c>
      <c r="AH95" s="175">
        <f>IF(ISNA(VLOOKUP("Bows",X28:Y51,1,FALSE)),0,VLOOKUP("Bows",X28:Y51,1,FALSE))</f>
        <v>0</v>
      </c>
      <c r="AI95" s="172">
        <f t="shared" si="30"/>
        <v>0</v>
      </c>
      <c r="AJ95" s="172" t="str">
        <f t="shared" si="31"/>
        <v/>
      </c>
      <c r="AK95" s="172"/>
      <c r="AL95" s="174"/>
      <c r="AM95" s="172"/>
      <c r="AN95" s="172">
        <f>SUM(AM90:AN94)</f>
        <v>0</v>
      </c>
      <c r="AO95" s="358"/>
      <c r="AP95" s="172">
        <f t="shared" si="24"/>
        <v>0</v>
      </c>
      <c r="AQ95" s="172">
        <f t="shared" si="23"/>
        <v>0</v>
      </c>
      <c r="AR95" s="217"/>
      <c r="AS95" s="218"/>
    </row>
    <row r="96">
      <c r="A96" s="285"/>
      <c r="B96" s="390">
        <v>1.0</v>
      </c>
      <c r="C96" s="5" t="s">
        <v>350</v>
      </c>
      <c r="E96" s="8" t="str">
        <f>VLOOKUP(C96,'Stat Modification'!AB3:AE100,2,FALSE)</f>
        <v/>
      </c>
      <c r="F96" s="391" t="str">
        <f>VLOOKUP(C96,'Stat Modification'!AB3:AE100,3,FALSE)</f>
        <v/>
      </c>
      <c r="H96" s="379"/>
      <c r="I96" s="399"/>
      <c r="J96" s="397" t="s">
        <v>622</v>
      </c>
      <c r="M96" s="398" t="s">
        <v>26</v>
      </c>
      <c r="O96" s="392"/>
      <c r="W96" s="18"/>
      <c r="X96" s="174"/>
      <c r="Y96" s="174"/>
      <c r="Z96" s="174"/>
      <c r="AA96" s="174"/>
      <c r="AB96" s="174"/>
      <c r="AC96" s="174"/>
      <c r="AD96" s="172"/>
      <c r="AE96" s="172"/>
      <c r="AF96" s="172"/>
      <c r="AG96" s="172"/>
      <c r="AH96" s="172"/>
      <c r="AI96" s="172">
        <f>AJ36</f>
        <v>60</v>
      </c>
      <c r="AJ96" s="175">
        <v>1.0</v>
      </c>
      <c r="AK96" s="172"/>
      <c r="AL96" s="174"/>
      <c r="AM96" s="172">
        <f t="shared" ref="AM96:AN96" si="34">IF(ISTEXT(AP26),1,0)</f>
        <v>0</v>
      </c>
      <c r="AN96" s="172">
        <f t="shared" si="34"/>
        <v>0</v>
      </c>
      <c r="AO96" s="358"/>
      <c r="AP96" s="172">
        <f t="shared" si="24"/>
        <v>0</v>
      </c>
      <c r="AQ96" s="172">
        <f t="shared" si="23"/>
        <v>0</v>
      </c>
      <c r="AR96" s="217"/>
      <c r="AS96" s="218"/>
    </row>
    <row r="97">
      <c r="A97" s="285"/>
      <c r="B97" s="393"/>
      <c r="C97" s="35" t="s">
        <v>337</v>
      </c>
      <c r="E97" s="35" t="s">
        <v>19</v>
      </c>
      <c r="F97" s="35" t="s">
        <v>330</v>
      </c>
      <c r="H97" s="379"/>
      <c r="I97" s="392"/>
      <c r="J97" s="397" t="s">
        <v>623</v>
      </c>
      <c r="M97" s="398" t="s">
        <v>26</v>
      </c>
      <c r="O97" s="392"/>
      <c r="P97" s="375" t="s">
        <v>624</v>
      </c>
      <c r="T97" s="41" t="s">
        <v>625</v>
      </c>
      <c r="W97" s="18"/>
      <c r="X97" s="174"/>
      <c r="Y97" s="174"/>
      <c r="Z97" s="174"/>
      <c r="AA97" s="174"/>
      <c r="AB97" s="174"/>
      <c r="AC97" s="174"/>
      <c r="AD97" s="172"/>
      <c r="AE97" s="172"/>
      <c r="AF97" s="172"/>
      <c r="AG97" s="172"/>
      <c r="AH97" s="173"/>
      <c r="AI97" s="172">
        <f t="shared" ref="AI97:AI104" si="36">$AI$96*AJ97</f>
        <v>120</v>
      </c>
      <c r="AJ97" s="175">
        <v>2.0</v>
      </c>
      <c r="AK97" s="172">
        <f>IF(AB110&lt;=AI96,0,IF(AB110&lt;=AI97,-1,IF(AB110&lt;=AI98,-2,IF(AB110&lt;=AI99,-3,IF(AB110&lt;=AI100,-4,IF(AB110&lt;=AI101,-5,IF(AB110&lt;=AI102,-6,IF(AB110&lt;=AI103,-7,IF(AB110&lt;=AI104,-8,0)))))))))</f>
        <v>0</v>
      </c>
      <c r="AL97" s="174"/>
      <c r="AM97" s="172">
        <f t="shared" ref="AM97:AN97" si="35">IF(ISTEXT(AP27),1,0)</f>
        <v>0</v>
      </c>
      <c r="AN97" s="172">
        <f t="shared" si="35"/>
        <v>0</v>
      </c>
      <c r="AO97" s="358"/>
      <c r="AP97" s="172">
        <f t="shared" si="24"/>
        <v>0</v>
      </c>
      <c r="AQ97" s="172">
        <f t="shared" si="23"/>
        <v>0</v>
      </c>
      <c r="AR97" s="217"/>
      <c r="AS97" s="218"/>
    </row>
    <row r="98">
      <c r="A98" s="285"/>
      <c r="B98" s="390">
        <v>1.0</v>
      </c>
      <c r="C98" s="5" t="s">
        <v>350</v>
      </c>
      <c r="E98" s="8" t="str">
        <f>VLOOKUP(C98,'Stat Modification'!AB3:AE100,2,FALSE)</f>
        <v/>
      </c>
      <c r="F98" s="391" t="str">
        <f>VLOOKUP(C98,'Stat Modification'!AB3:AE100,3,FALSE)</f>
        <v/>
      </c>
      <c r="H98" s="379"/>
      <c r="I98" s="392"/>
      <c r="J98" s="400" t="s">
        <v>626</v>
      </c>
      <c r="O98" s="392"/>
      <c r="T98" s="376" t="s">
        <v>627</v>
      </c>
      <c r="W98" s="18"/>
      <c r="X98" s="174"/>
      <c r="Y98" s="174"/>
      <c r="Z98" s="174"/>
      <c r="AA98" s="174"/>
      <c r="AB98" s="174"/>
      <c r="AC98" s="174"/>
      <c r="AD98" s="172"/>
      <c r="AE98" s="172"/>
      <c r="AF98" s="172">
        <f t="shared" ref="AF98:AF102" si="37">IF(ISTEXT(AC5),1,0)</f>
        <v>0</v>
      </c>
      <c r="AG98" s="172">
        <f>(AJ36+D32)*2.5</f>
        <v>150</v>
      </c>
      <c r="AH98" s="172"/>
      <c r="AI98" s="172">
        <f t="shared" si="36"/>
        <v>180</v>
      </c>
      <c r="AJ98" s="175">
        <v>3.0</v>
      </c>
      <c r="AK98" s="172"/>
      <c r="AL98" s="174"/>
      <c r="AM98" s="172"/>
      <c r="AN98" s="172">
        <f>SUM(AM96:AN97)</f>
        <v>0</v>
      </c>
      <c r="AO98" s="358"/>
      <c r="AP98" s="172">
        <f t="shared" si="24"/>
        <v>0</v>
      </c>
      <c r="AQ98" s="172">
        <f t="shared" si="23"/>
        <v>0</v>
      </c>
      <c r="AR98" s="217"/>
      <c r="AS98" s="218"/>
    </row>
    <row r="99">
      <c r="A99" s="285"/>
      <c r="B99" s="393"/>
      <c r="C99" s="35" t="s">
        <v>337</v>
      </c>
      <c r="E99" s="35" t="s">
        <v>19</v>
      </c>
      <c r="F99" s="35" t="s">
        <v>330</v>
      </c>
      <c r="H99" s="379"/>
      <c r="I99" s="392"/>
      <c r="J99" s="397" t="s">
        <v>619</v>
      </c>
      <c r="M99" s="398" t="s">
        <v>26</v>
      </c>
      <c r="O99" s="392"/>
      <c r="W99" s="18"/>
      <c r="X99" s="174"/>
      <c r="Y99" s="174"/>
      <c r="Z99" s="174"/>
      <c r="AA99" s="174"/>
      <c r="AB99" s="174"/>
      <c r="AC99" s="174"/>
      <c r="AD99" s="172"/>
      <c r="AE99" s="172"/>
      <c r="AF99" s="172">
        <f t="shared" si="37"/>
        <v>0</v>
      </c>
      <c r="AG99" s="172"/>
      <c r="AH99" s="359"/>
      <c r="AI99" s="172">
        <f t="shared" si="36"/>
        <v>240</v>
      </c>
      <c r="AJ99" s="175">
        <v>4.0</v>
      </c>
      <c r="AK99" s="172"/>
      <c r="AL99" s="174"/>
      <c r="AM99" s="172"/>
      <c r="AN99" s="172">
        <f>IF(NOT(G6="Select Skill"),1,0)</f>
        <v>0</v>
      </c>
      <c r="AO99" s="358"/>
      <c r="AP99" s="172">
        <f t="shared" si="24"/>
        <v>0</v>
      </c>
      <c r="AQ99" s="172">
        <f t="shared" si="23"/>
        <v>0</v>
      </c>
      <c r="AR99" s="217"/>
      <c r="AS99" s="218"/>
    </row>
    <row r="100">
      <c r="A100" s="285"/>
      <c r="B100" s="390">
        <v>1.0</v>
      </c>
      <c r="C100" s="5" t="s">
        <v>350</v>
      </c>
      <c r="E100" s="8" t="str">
        <f>VLOOKUP(C100,'Stat Modification'!AB3:AE100,2,FALSE)</f>
        <v/>
      </c>
      <c r="F100" s="391" t="str">
        <f>VLOOKUP(C100,'Stat Modification'!AB3:AE100,3,FALSE)</f>
        <v/>
      </c>
      <c r="H100" s="379"/>
      <c r="I100" s="392"/>
      <c r="J100" s="397" t="s">
        <v>620</v>
      </c>
      <c r="M100" s="398" t="s">
        <v>26</v>
      </c>
      <c r="O100" s="392"/>
      <c r="P100" s="376" t="s">
        <v>628</v>
      </c>
      <c r="T100" s="43"/>
      <c r="U100" s="43"/>
      <c r="V100" s="43"/>
      <c r="W100" s="18"/>
      <c r="X100" s="174"/>
      <c r="Y100" s="174"/>
      <c r="Z100" s="174"/>
      <c r="AA100" s="174"/>
      <c r="AB100" s="174"/>
      <c r="AC100" s="174"/>
      <c r="AD100" s="172"/>
      <c r="AE100" s="172"/>
      <c r="AF100" s="172">
        <f t="shared" si="37"/>
        <v>0</v>
      </c>
      <c r="AG100" s="172"/>
      <c r="AH100" s="359"/>
      <c r="AI100" s="172">
        <f t="shared" si="36"/>
        <v>300</v>
      </c>
      <c r="AJ100" s="175">
        <v>5.0</v>
      </c>
      <c r="AK100" s="172"/>
      <c r="AL100" s="174"/>
      <c r="AM100" s="172">
        <f t="shared" ref="AM100:AM101" si="38">IF(ISTEXT(AE26),1,0)</f>
        <v>0</v>
      </c>
      <c r="AN100" s="172">
        <f>IF(ISTEXT(AJ27),1,0)</f>
        <v>0</v>
      </c>
      <c r="AO100" s="358"/>
      <c r="AP100" s="172">
        <f t="shared" si="24"/>
        <v>0</v>
      </c>
      <c r="AQ100" s="172">
        <f t="shared" si="23"/>
        <v>0</v>
      </c>
      <c r="AR100" s="217"/>
      <c r="AS100" s="218"/>
    </row>
    <row r="101">
      <c r="A101" s="285"/>
      <c r="B101" s="393"/>
      <c r="C101" s="35" t="s">
        <v>337</v>
      </c>
      <c r="E101" s="35" t="s">
        <v>19</v>
      </c>
      <c r="F101" s="35" t="s">
        <v>330</v>
      </c>
      <c r="H101" s="379"/>
      <c r="I101" s="392"/>
      <c r="J101" s="397" t="s">
        <v>622</v>
      </c>
      <c r="M101" s="398" t="s">
        <v>26</v>
      </c>
      <c r="O101" s="392"/>
      <c r="T101" s="43"/>
      <c r="U101" s="43"/>
      <c r="V101" s="43"/>
      <c r="W101" s="18"/>
      <c r="X101" s="174"/>
      <c r="Y101" s="174"/>
      <c r="Z101" s="174"/>
      <c r="AA101" s="174"/>
      <c r="AB101" s="174"/>
      <c r="AC101" s="174"/>
      <c r="AD101" s="172"/>
      <c r="AE101" s="172"/>
      <c r="AF101" s="172">
        <f t="shared" si="37"/>
        <v>0</v>
      </c>
      <c r="AG101" s="172"/>
      <c r="AH101" s="172"/>
      <c r="AI101" s="172">
        <f t="shared" si="36"/>
        <v>360</v>
      </c>
      <c r="AJ101" s="175">
        <v>6.0</v>
      </c>
      <c r="AK101" s="172"/>
      <c r="AL101" s="174"/>
      <c r="AM101" s="172">
        <f t="shared" si="38"/>
        <v>0</v>
      </c>
      <c r="AN101" s="172">
        <f>SUM(AM100:AM101)</f>
        <v>0</v>
      </c>
      <c r="AO101" s="358"/>
      <c r="AP101" s="172">
        <f t="shared" si="24"/>
        <v>0</v>
      </c>
      <c r="AQ101" s="172">
        <f t="shared" si="23"/>
        <v>0</v>
      </c>
      <c r="AR101" s="217"/>
      <c r="AS101" s="218"/>
    </row>
    <row r="102">
      <c r="A102" s="285"/>
      <c r="B102" s="390">
        <v>1.0</v>
      </c>
      <c r="C102" s="5" t="s">
        <v>350</v>
      </c>
      <c r="E102" s="8" t="str">
        <f>VLOOKUP(C102,'Stat Modification'!AB3:AE100,2,FALSE)</f>
        <v/>
      </c>
      <c r="F102" s="391" t="str">
        <f>VLOOKUP(C102,'Stat Modification'!AB3:AE100,3,FALSE)</f>
        <v/>
      </c>
      <c r="H102" s="392"/>
      <c r="I102" s="392"/>
      <c r="J102" s="397" t="s">
        <v>623</v>
      </c>
      <c r="M102" s="398" t="s">
        <v>26</v>
      </c>
      <c r="O102" s="392"/>
      <c r="P102" s="43" t="s">
        <v>629</v>
      </c>
      <c r="T102" s="43"/>
      <c r="U102" s="43"/>
      <c r="V102" s="43"/>
      <c r="W102" s="18"/>
      <c r="X102" s="174"/>
      <c r="Y102" s="174"/>
      <c r="Z102" s="174"/>
      <c r="AA102" s="174"/>
      <c r="AB102" s="174"/>
      <c r="AC102" s="174"/>
      <c r="AD102" s="172"/>
      <c r="AE102" s="172"/>
      <c r="AF102" s="172">
        <f t="shared" si="37"/>
        <v>0</v>
      </c>
      <c r="AG102" s="172"/>
      <c r="AH102" s="172"/>
      <c r="AI102" s="172">
        <f t="shared" si="36"/>
        <v>420</v>
      </c>
      <c r="AJ102" s="175">
        <v>7.0</v>
      </c>
      <c r="AK102" s="172"/>
      <c r="AL102" s="172"/>
      <c r="AM102" s="172"/>
      <c r="AN102" s="172"/>
      <c r="AO102" s="358"/>
      <c r="AP102" s="172">
        <f t="shared" si="24"/>
        <v>0</v>
      </c>
      <c r="AQ102" s="172">
        <f t="shared" si="23"/>
        <v>0</v>
      </c>
      <c r="AR102" s="217"/>
      <c r="AS102" s="218"/>
    </row>
    <row r="103">
      <c r="A103" s="285"/>
      <c r="B103" s="392"/>
      <c r="C103" s="401" t="s">
        <v>630</v>
      </c>
      <c r="H103" s="392"/>
      <c r="I103" s="392"/>
      <c r="J103" s="392"/>
      <c r="K103" s="392"/>
      <c r="L103" s="392"/>
      <c r="M103" s="392"/>
      <c r="N103" s="392"/>
      <c r="O103" s="392"/>
      <c r="T103" s="43" t="s">
        <v>567</v>
      </c>
      <c r="U103" s="43" t="s">
        <v>631</v>
      </c>
      <c r="V103" s="43"/>
      <c r="W103" s="18"/>
      <c r="X103" s="174"/>
      <c r="Y103" s="174"/>
      <c r="Z103" s="174"/>
      <c r="AA103" s="174"/>
      <c r="AB103" s="174"/>
      <c r="AC103" s="174"/>
      <c r="AD103" s="172"/>
      <c r="AE103" s="172"/>
      <c r="AF103" s="172">
        <f>SUM(AF98:AF102)</f>
        <v>0</v>
      </c>
      <c r="AG103" s="174"/>
      <c r="AH103" s="172"/>
      <c r="AI103" s="172">
        <f t="shared" si="36"/>
        <v>480</v>
      </c>
      <c r="AJ103" s="175">
        <v>8.0</v>
      </c>
      <c r="AK103" s="172"/>
      <c r="AL103" s="172"/>
      <c r="AM103" s="172"/>
      <c r="AN103" s="172"/>
      <c r="AO103" s="358" t="str">
        <f>IF(ISNA(VLOOKUP(N298,X27:X49,1,FALSE)),"",VLOOKUP(N298,X27:X49,1,FALSE))</f>
        <v/>
      </c>
      <c r="AP103" s="172">
        <f t="shared" si="24"/>
        <v>0</v>
      </c>
      <c r="AQ103" s="172">
        <f t="shared" si="23"/>
        <v>0</v>
      </c>
      <c r="AR103" s="217"/>
      <c r="AS103" s="218"/>
    </row>
    <row r="104">
      <c r="A104" s="285"/>
      <c r="B104" s="392"/>
      <c r="C104" s="402" t="s">
        <v>632</v>
      </c>
      <c r="D104" s="383" t="s">
        <v>4</v>
      </c>
      <c r="E104" s="403" t="s">
        <v>6</v>
      </c>
      <c r="F104" s="383" t="s">
        <v>7</v>
      </c>
      <c r="G104" s="383" t="s">
        <v>19</v>
      </c>
      <c r="H104" s="383" t="s">
        <v>10</v>
      </c>
      <c r="J104" s="383" t="s">
        <v>16</v>
      </c>
      <c r="L104" s="404" t="s">
        <v>17</v>
      </c>
      <c r="M104" s="392"/>
      <c r="N104" s="392"/>
      <c r="O104" s="392"/>
      <c r="P104" s="18"/>
      <c r="Q104" s="18"/>
      <c r="R104" s="18"/>
      <c r="S104" s="18"/>
      <c r="T104" s="18"/>
      <c r="U104" s="18"/>
      <c r="V104" s="18"/>
      <c r="W104" s="18"/>
      <c r="X104" s="174"/>
      <c r="Y104" s="174"/>
      <c r="Z104" s="174"/>
      <c r="AA104" s="174"/>
      <c r="AB104" s="174"/>
      <c r="AC104" s="174"/>
      <c r="AD104" s="172"/>
      <c r="AE104" s="172"/>
      <c r="AF104" s="172"/>
      <c r="AG104" s="172"/>
      <c r="AH104" s="172"/>
      <c r="AI104" s="172">
        <f t="shared" si="36"/>
        <v>540</v>
      </c>
      <c r="AJ104" s="175">
        <v>9.0</v>
      </c>
      <c r="AK104" s="172"/>
      <c r="AL104" s="172"/>
      <c r="AM104" s="172"/>
      <c r="AN104" s="172"/>
      <c r="AO104" s="405"/>
      <c r="AP104" s="172">
        <f t="shared" si="24"/>
        <v>0</v>
      </c>
      <c r="AQ104" s="172">
        <f t="shared" si="23"/>
        <v>0</v>
      </c>
      <c r="AR104" s="217"/>
      <c r="AS104" s="218"/>
    </row>
    <row r="105">
      <c r="A105" s="285"/>
      <c r="B105" s="392"/>
      <c r="C105" s="406"/>
      <c r="D105" s="73" t="s">
        <v>24</v>
      </c>
      <c r="E105" s="73" t="s">
        <v>25</v>
      </c>
      <c r="F105" s="407"/>
      <c r="G105" s="407"/>
      <c r="H105" s="407"/>
      <c r="J105" s="407"/>
      <c r="L105" s="73" t="s">
        <v>26</v>
      </c>
      <c r="M105" s="392"/>
      <c r="N105" s="173"/>
      <c r="O105" s="174"/>
      <c r="P105" s="174"/>
      <c r="Q105" s="174"/>
      <c r="R105" s="174"/>
      <c r="S105" s="174"/>
      <c r="T105" s="174"/>
      <c r="U105" s="174"/>
      <c r="V105" s="174"/>
      <c r="W105" s="174"/>
      <c r="X105" s="174"/>
      <c r="Y105" s="174"/>
      <c r="Z105" s="174"/>
      <c r="AA105" s="174"/>
      <c r="AB105" s="174"/>
      <c r="AC105" s="174"/>
      <c r="AD105" s="172"/>
      <c r="AE105" s="174"/>
      <c r="AF105" s="174"/>
      <c r="AG105" s="174"/>
      <c r="AH105" s="174"/>
      <c r="AI105" s="174"/>
      <c r="AJ105" s="174"/>
      <c r="AK105" s="174"/>
      <c r="AL105" s="174"/>
      <c r="AM105" s="174"/>
      <c r="AN105" s="174"/>
      <c r="AO105" s="174">
        <f>IF(ISNA(VLOOKUP("Perception",X27:Y49,1,FALSE)),0,VLOOKUP("Perception",X27:Y49,1,FALSE))</f>
        <v>0</v>
      </c>
      <c r="AP105" s="172">
        <f t="shared" si="24"/>
        <v>0</v>
      </c>
      <c r="AQ105" s="172">
        <f t="shared" si="23"/>
        <v>0</v>
      </c>
      <c r="AR105" s="217"/>
      <c r="AS105" s="218"/>
    </row>
    <row r="106">
      <c r="A106" s="285"/>
      <c r="B106" s="408"/>
      <c r="C106" s="383" t="s">
        <v>633</v>
      </c>
      <c r="D106" s="383" t="s">
        <v>4</v>
      </c>
      <c r="E106" s="403" t="s">
        <v>6</v>
      </c>
      <c r="F106" s="383" t="s">
        <v>7</v>
      </c>
      <c r="G106" s="383" t="s">
        <v>19</v>
      </c>
      <c r="H106" s="383" t="s">
        <v>10</v>
      </c>
      <c r="J106" s="383" t="s">
        <v>16</v>
      </c>
      <c r="L106" s="404" t="s">
        <v>17</v>
      </c>
      <c r="M106" s="392"/>
      <c r="N106" s="174"/>
      <c r="O106" s="174"/>
      <c r="P106" s="174"/>
      <c r="Q106" s="174"/>
      <c r="R106" s="174"/>
      <c r="S106" s="174"/>
      <c r="T106" s="174"/>
      <c r="U106" s="174"/>
      <c r="V106" s="174"/>
      <c r="W106" s="174"/>
      <c r="X106" s="174"/>
      <c r="Y106" s="174"/>
      <c r="Z106" s="174"/>
      <c r="AA106" s="174"/>
      <c r="AB106" s="174"/>
      <c r="AC106" s="174"/>
      <c r="AD106" s="172">
        <f t="shared" ref="AD106:AO106" si="39">SUM(AD107:AD108)</f>
        <v>0</v>
      </c>
      <c r="AE106" s="172">
        <f t="shared" si="39"/>
        <v>0</v>
      </c>
      <c r="AF106" s="172">
        <f t="shared" si="39"/>
        <v>0</v>
      </c>
      <c r="AG106" s="172">
        <f t="shared" si="39"/>
        <v>0</v>
      </c>
      <c r="AH106" s="172">
        <f t="shared" si="39"/>
        <v>0</v>
      </c>
      <c r="AI106" s="172">
        <f t="shared" si="39"/>
        <v>0</v>
      </c>
      <c r="AJ106" s="172">
        <f t="shared" si="39"/>
        <v>0</v>
      </c>
      <c r="AK106" s="172">
        <f t="shared" si="39"/>
        <v>0</v>
      </c>
      <c r="AL106" s="172">
        <f t="shared" si="39"/>
        <v>0</v>
      </c>
      <c r="AM106" s="172">
        <f t="shared" si="39"/>
        <v>0</v>
      </c>
      <c r="AN106" s="172">
        <f t="shared" si="39"/>
        <v>0</v>
      </c>
      <c r="AO106" s="174">
        <f t="shared" si="39"/>
        <v>0</v>
      </c>
      <c r="AP106" s="174"/>
      <c r="AQ106" s="174"/>
      <c r="AR106" s="217"/>
      <c r="AS106" s="218"/>
    </row>
    <row r="107">
      <c r="A107" s="285"/>
      <c r="B107" s="408"/>
      <c r="C107" s="409"/>
      <c r="D107" s="406" t="s">
        <v>24</v>
      </c>
      <c r="E107" s="406" t="s">
        <v>25</v>
      </c>
      <c r="F107" s="409"/>
      <c r="G107" s="409"/>
      <c r="H107" s="409"/>
      <c r="J107" s="409"/>
      <c r="L107" s="406" t="s">
        <v>26</v>
      </c>
      <c r="M107" s="392"/>
      <c r="N107" s="174"/>
      <c r="O107" s="174"/>
      <c r="P107" s="174"/>
      <c r="Q107" s="174"/>
      <c r="R107" s="174"/>
      <c r="S107" s="174"/>
      <c r="T107" s="174"/>
      <c r="U107" s="174"/>
      <c r="V107" s="174"/>
      <c r="W107" s="174"/>
      <c r="X107" s="174"/>
      <c r="Y107" s="174"/>
      <c r="Z107" s="174"/>
      <c r="AA107" s="174"/>
      <c r="AB107" s="174"/>
      <c r="AC107" s="174"/>
      <c r="AD107" s="172" t="str">
        <f>VLOOKUP($F$7,'Stat Modification'!AG3:AS100,2,FALSE)</f>
        <v/>
      </c>
      <c r="AE107" s="172" t="str">
        <f>VLOOKUP($F$7,'Stat Modification'!AG3:AS100,3,FALSE)</f>
        <v/>
      </c>
      <c r="AF107" s="172" t="str">
        <f>VLOOKUP($F$7,'Stat Modification'!AG3:AS100,4,FALSE)</f>
        <v/>
      </c>
      <c r="AG107" s="172" t="str">
        <f>VLOOKUP($F$7,'Stat Modification'!AG3:AS100,5,FALSE)</f>
        <v/>
      </c>
      <c r="AH107" s="172" t="str">
        <f>VLOOKUP($F$7,'Stat Modification'!AG3:AS100,6,FALSE)</f>
        <v/>
      </c>
      <c r="AI107" s="172" t="str">
        <f>VLOOKUP($F$7,'Stat Modification'!AG3:AS100,7,FALSE)</f>
        <v/>
      </c>
      <c r="AJ107" s="172" t="str">
        <f>VLOOKUP($F$7,'Stat Modification'!AG3:AS100,8,FALSE)</f>
        <v/>
      </c>
      <c r="AK107" s="172" t="str">
        <f>VLOOKUP($F$7,'Stat Modification'!AG3:AS100,9,FALSE)</f>
        <v/>
      </c>
      <c r="AL107" s="172" t="str">
        <f>VLOOKUP($F$7,'Stat Modification'!AG3:AS100,10,FALSE)</f>
        <v/>
      </c>
      <c r="AM107" s="172" t="str">
        <f>VLOOKUP($F$7,'Stat Modification'!AG3:AS100,11,FALSE)</f>
        <v/>
      </c>
      <c r="AN107" s="172" t="str">
        <f>VLOOKUP($F$7,'Stat Modification'!AG3:AS100,12,FALSE)</f>
        <v/>
      </c>
      <c r="AO107" s="172" t="str">
        <f>VLOOKUP($F$7,'Stat Modification'!AG3:AS100,13,FALSE)</f>
        <v/>
      </c>
      <c r="AP107" s="172"/>
      <c r="AQ107" s="172"/>
      <c r="AR107" s="217"/>
      <c r="AS107" s="218"/>
    </row>
    <row r="108">
      <c r="A108" s="285"/>
      <c r="B108" s="408"/>
      <c r="C108" s="408"/>
      <c r="D108" s="408"/>
      <c r="E108" s="408"/>
      <c r="F108" s="408"/>
      <c r="G108" s="408"/>
      <c r="H108" s="408"/>
      <c r="I108" s="408"/>
      <c r="J108" s="408"/>
      <c r="K108" s="408"/>
      <c r="L108" s="408"/>
      <c r="M108" s="408"/>
      <c r="N108" s="174"/>
      <c r="O108" s="174"/>
      <c r="P108" s="174"/>
      <c r="Q108" s="174"/>
      <c r="R108" s="174"/>
      <c r="S108" s="174"/>
      <c r="T108" s="174"/>
      <c r="U108" s="174"/>
      <c r="V108" s="174"/>
      <c r="W108" s="174"/>
      <c r="X108" s="174"/>
      <c r="Y108" s="174"/>
      <c r="Z108" s="174"/>
      <c r="AA108" s="174"/>
      <c r="AB108" s="174"/>
      <c r="AC108" s="174"/>
      <c r="AD108" s="172" t="str">
        <f>VLOOKUP($P$3,'Race Modification'!C2:BO55,2,FALSE)</f>
        <v/>
      </c>
      <c r="AE108" s="172" t="str">
        <f>VLOOKUP($P$3,'Race Modification'!C2:BO55,3,FALSE)</f>
        <v/>
      </c>
      <c r="AF108" s="172" t="str">
        <f>VLOOKUP($P$3,'Race Modification'!C2:BO55,4,FALSE)</f>
        <v/>
      </c>
      <c r="AG108" s="172" t="str">
        <f>VLOOKUP($P$3,'Race Modification'!C2:BO55,6,FALSE)</f>
        <v/>
      </c>
      <c r="AH108" s="172" t="str">
        <f>VLOOKUP($P$3,'Race Modification'!C2:BO55,5,FALSE)</f>
        <v/>
      </c>
      <c r="AI108" s="172" t="str">
        <f>VLOOKUP($P$3,'Race Modification'!C2:BO55,7,FALSE)</f>
        <v/>
      </c>
      <c r="AJ108" s="172" t="str">
        <f>VLOOKUP($P$3,'Race Modification'!C2:BO55,8,FALSE)</f>
        <v/>
      </c>
      <c r="AK108" s="172" t="str">
        <f>VLOOKUP($P$3,'Race Modification'!C2:BO55,9,FALSE)</f>
        <v/>
      </c>
      <c r="AL108" s="172" t="str">
        <f>VLOOKUP($P$3,'Race Modification'!C2:BO55,10,FALSE)</f>
        <v/>
      </c>
      <c r="AM108" s="172" t="str">
        <f>VLOOKUP($P$3,'Race Modification'!C2:BO55,11,FALSE)</f>
        <v/>
      </c>
      <c r="AN108" s="172" t="str">
        <f>VLOOKUP($P$3,'Race Modification'!C2:BO55,12,FALSE)</f>
        <v/>
      </c>
      <c r="AO108" s="359" t="str">
        <f>VLOOKUP($P$3,'Race Modification'!C2:BO55,13,FALSE)</f>
        <v/>
      </c>
      <c r="AP108" s="359"/>
      <c r="AQ108" s="359"/>
      <c r="AR108" s="217"/>
      <c r="AS108" s="218"/>
    </row>
    <row r="109">
      <c r="A109" s="285"/>
      <c r="B109" s="173"/>
      <c r="C109" s="173"/>
      <c r="D109" s="173"/>
      <c r="E109" s="173"/>
      <c r="F109" s="173"/>
      <c r="G109" s="173"/>
      <c r="H109" s="173"/>
      <c r="I109" s="173"/>
      <c r="J109" s="173"/>
      <c r="K109" s="173"/>
      <c r="L109" s="173"/>
      <c r="M109" s="173"/>
      <c r="N109" s="174"/>
      <c r="O109" s="174"/>
      <c r="P109" s="174"/>
      <c r="Q109" s="174"/>
      <c r="R109" s="174"/>
      <c r="S109" s="174"/>
      <c r="T109" s="174"/>
      <c r="U109" s="174"/>
      <c r="V109" s="174"/>
      <c r="W109" s="174"/>
      <c r="X109" s="175"/>
      <c r="Y109" s="172"/>
      <c r="Z109" s="174"/>
      <c r="AA109" s="175"/>
      <c r="AB109" s="172">
        <f>SUM(AB111:AB278)</f>
        <v>0</v>
      </c>
      <c r="AC109" s="172"/>
      <c r="AD109" s="175"/>
      <c r="AE109" s="175"/>
      <c r="AF109" s="175"/>
      <c r="AG109" s="175"/>
      <c r="AH109" s="175"/>
      <c r="AI109" s="175"/>
      <c r="AJ109" s="175"/>
      <c r="AK109" s="175"/>
      <c r="AL109" s="175"/>
      <c r="AM109" s="175"/>
      <c r="AN109" s="410"/>
      <c r="AO109" s="411"/>
      <c r="AP109" s="411"/>
      <c r="AQ109" s="412"/>
      <c r="AR109" s="217"/>
      <c r="AS109" s="218"/>
    </row>
    <row r="110">
      <c r="A110" s="285"/>
      <c r="B110" s="173"/>
      <c r="C110" s="173"/>
      <c r="D110" s="173"/>
      <c r="E110" s="173"/>
      <c r="F110" s="173"/>
      <c r="G110" s="173"/>
      <c r="H110" s="173"/>
      <c r="I110" s="173"/>
      <c r="J110" s="173"/>
      <c r="K110" s="173"/>
      <c r="L110" s="173"/>
      <c r="M110" s="173"/>
      <c r="N110" s="174"/>
      <c r="O110" s="174"/>
      <c r="P110" s="174"/>
      <c r="Q110" s="174"/>
      <c r="R110" s="174"/>
      <c r="S110" s="174"/>
      <c r="T110" s="174"/>
      <c r="U110" s="174"/>
      <c r="V110" s="174"/>
      <c r="W110" s="174"/>
      <c r="X110" s="361"/>
      <c r="Y110" s="174"/>
      <c r="Z110" s="174"/>
      <c r="AA110" s="413"/>
      <c r="AB110" s="175">
        <f>IF(P37="-",0,SUM(AB111:AB278))</f>
        <v>0</v>
      </c>
      <c r="AC110" s="175"/>
      <c r="AD110" s="414"/>
      <c r="AE110" s="414"/>
      <c r="AF110" s="414"/>
      <c r="AG110" s="414"/>
      <c r="AH110" s="414"/>
      <c r="AI110" s="414"/>
      <c r="AJ110" s="414"/>
      <c r="AK110" s="413"/>
      <c r="AL110" s="414"/>
      <c r="AM110" s="414"/>
      <c r="AN110" s="410"/>
      <c r="AO110" s="411"/>
      <c r="AP110" s="411"/>
      <c r="AQ110" s="411"/>
      <c r="AR110" s="415"/>
      <c r="AS110" s="416" t="str">
        <f t="shared" ref="AS110:AS137" si="40">AA110</f>
        <v/>
      </c>
    </row>
    <row r="111">
      <c r="A111" s="285"/>
      <c r="B111" s="174"/>
      <c r="C111" s="174"/>
      <c r="D111" s="174"/>
      <c r="E111" s="174"/>
      <c r="F111" s="174"/>
      <c r="G111" s="174"/>
      <c r="H111" s="174"/>
      <c r="I111" s="174"/>
      <c r="J111" s="174"/>
      <c r="K111" s="174"/>
      <c r="L111" s="174"/>
      <c r="M111" s="174"/>
      <c r="N111" s="174"/>
      <c r="O111" s="174"/>
      <c r="P111" s="174"/>
      <c r="Q111" s="174"/>
      <c r="R111" s="174"/>
      <c r="S111" s="174"/>
      <c r="T111" s="174"/>
      <c r="U111" s="174"/>
      <c r="V111" s="174"/>
      <c r="W111" s="174"/>
      <c r="X111" s="361"/>
      <c r="Y111" s="174"/>
      <c r="Z111" s="174"/>
      <c r="AA111" s="413"/>
      <c r="AB111" s="223">
        <f>IF(ISBLANK('Weapons &amp; Gear'!B3),'Weapons &amp; Gear'!J3,'Weapons &amp; Gear'!J3*'Weapons &amp; Gear'!B3)</f>
        <v>0</v>
      </c>
      <c r="AC111" s="175"/>
      <c r="AD111" s="414"/>
      <c r="AE111" s="414"/>
      <c r="AF111" s="414"/>
      <c r="AG111" s="414"/>
      <c r="AH111" s="414"/>
      <c r="AI111" s="414"/>
      <c r="AJ111" s="414"/>
      <c r="AK111" s="413"/>
      <c r="AL111" s="414"/>
      <c r="AM111" s="414"/>
      <c r="AN111" s="361"/>
      <c r="AO111" s="417"/>
      <c r="AP111" s="417"/>
      <c r="AQ111" s="417"/>
      <c r="AR111" s="415"/>
      <c r="AS111" s="416" t="str">
        <f t="shared" si="40"/>
        <v/>
      </c>
    </row>
    <row r="112">
      <c r="A112" s="285"/>
      <c r="B112" s="174"/>
      <c r="C112" s="174"/>
      <c r="D112" s="174"/>
      <c r="E112" s="174"/>
      <c r="F112" s="174"/>
      <c r="G112" s="174"/>
      <c r="H112" s="174"/>
      <c r="I112" s="174"/>
      <c r="J112" s="174"/>
      <c r="K112" s="174"/>
      <c r="L112" s="174"/>
      <c r="M112" s="174"/>
      <c r="N112" s="174"/>
      <c r="O112" s="174"/>
      <c r="P112" s="174"/>
      <c r="Q112" s="174"/>
      <c r="R112" s="174"/>
      <c r="S112" s="174"/>
      <c r="T112" s="174"/>
      <c r="U112" s="174"/>
      <c r="V112" s="174"/>
      <c r="W112" s="174"/>
      <c r="X112" s="361"/>
      <c r="Y112" s="361"/>
      <c r="Z112" s="174"/>
      <c r="AA112" s="413"/>
      <c r="AB112" s="223">
        <f>IF(ISBLANK('Weapons &amp; Gear'!B4),'Weapons &amp; Gear'!J4,'Weapons &amp; Gear'!J4*'Weapons &amp; Gear'!B4)</f>
        <v>0</v>
      </c>
      <c r="AC112" s="175"/>
      <c r="AD112" s="414"/>
      <c r="AE112" s="414"/>
      <c r="AF112" s="413"/>
      <c r="AG112" s="414"/>
      <c r="AH112" s="413"/>
      <c r="AI112" s="414"/>
      <c r="AJ112" s="413"/>
      <c r="AK112" s="413"/>
      <c r="AL112" s="414"/>
      <c r="AM112" s="414"/>
      <c r="AN112" s="418"/>
      <c r="AO112" s="411"/>
      <c r="AP112" s="411"/>
      <c r="AQ112" s="411"/>
      <c r="AR112" s="415"/>
      <c r="AS112" s="416" t="str">
        <f t="shared" si="40"/>
        <v/>
      </c>
    </row>
    <row r="113">
      <c r="A113" s="285"/>
      <c r="B113" s="174"/>
      <c r="C113" s="174"/>
      <c r="D113" s="174"/>
      <c r="E113" s="174"/>
      <c r="F113" s="174"/>
      <c r="G113" s="174"/>
      <c r="H113" s="174"/>
      <c r="I113" s="174"/>
      <c r="J113" s="174"/>
      <c r="K113" s="174"/>
      <c r="L113" s="174"/>
      <c r="M113" s="174"/>
      <c r="N113" s="174"/>
      <c r="O113" s="174"/>
      <c r="P113" s="174"/>
      <c r="Q113" s="174"/>
      <c r="R113" s="174"/>
      <c r="S113" s="174"/>
      <c r="T113" s="174"/>
      <c r="U113" s="174"/>
      <c r="V113" s="174"/>
      <c r="W113" s="174"/>
      <c r="X113" s="174"/>
      <c r="Y113" s="174"/>
      <c r="Z113" s="174"/>
      <c r="AA113" s="413"/>
      <c r="AB113" s="223">
        <f>IF(ISBLANK('Weapons &amp; Gear'!B5),'Weapons &amp; Gear'!J5,'Weapons &amp; Gear'!J5*'Weapons &amp; Gear'!B5)</f>
        <v>0</v>
      </c>
      <c r="AC113" s="175"/>
      <c r="AD113" s="413"/>
      <c r="AE113" s="414"/>
      <c r="AF113" s="413"/>
      <c r="AG113" s="414"/>
      <c r="AH113" s="414"/>
      <c r="AI113" s="414"/>
      <c r="AJ113" s="414"/>
      <c r="AK113" s="414"/>
      <c r="AL113" s="414"/>
      <c r="AM113" s="414"/>
      <c r="AN113" s="418"/>
      <c r="AO113" s="411"/>
      <c r="AP113" s="411"/>
      <c r="AQ113" s="411"/>
      <c r="AR113" s="415"/>
      <c r="AS113" s="416" t="str">
        <f t="shared" si="40"/>
        <v/>
      </c>
    </row>
    <row r="114">
      <c r="A114" s="419"/>
      <c r="B114" s="174"/>
      <c r="C114" s="174"/>
      <c r="D114" s="174"/>
      <c r="E114" s="174"/>
      <c r="F114" s="174"/>
      <c r="G114" s="174"/>
      <c r="H114" s="174"/>
      <c r="I114" s="174"/>
      <c r="J114" s="174"/>
      <c r="K114" s="174"/>
      <c r="L114" s="174"/>
      <c r="M114" s="174"/>
      <c r="N114" s="174"/>
      <c r="O114" s="174"/>
      <c r="P114" s="174"/>
      <c r="Q114" s="174"/>
      <c r="R114" s="174"/>
      <c r="S114" s="174"/>
      <c r="T114" s="174"/>
      <c r="U114" s="174"/>
      <c r="V114" s="174"/>
      <c r="W114" s="174"/>
      <c r="X114" s="174"/>
      <c r="Y114" s="174"/>
      <c r="Z114" s="174"/>
      <c r="AA114" s="413"/>
      <c r="AB114" s="223">
        <f>IF(ISBLANK('Weapons &amp; Gear'!B6),'Weapons &amp; Gear'!J6,'Weapons &amp; Gear'!J6*'Weapons &amp; Gear'!B6)</f>
        <v>0</v>
      </c>
      <c r="AC114" s="175"/>
      <c r="AD114" s="413"/>
      <c r="AE114" s="413"/>
      <c r="AF114" s="414"/>
      <c r="AG114" s="414"/>
      <c r="AH114" s="413"/>
      <c r="AI114" s="414"/>
      <c r="AJ114" s="413"/>
      <c r="AK114" s="413"/>
      <c r="AL114" s="414"/>
      <c r="AM114" s="414"/>
      <c r="AN114" s="418"/>
      <c r="AO114" s="411"/>
      <c r="AP114" s="411"/>
      <c r="AQ114" s="411"/>
      <c r="AR114" s="415"/>
      <c r="AS114" s="416" t="str">
        <f t="shared" si="40"/>
        <v/>
      </c>
    </row>
    <row r="115">
      <c r="A115" s="419"/>
      <c r="B115" s="173"/>
      <c r="C115" s="173"/>
      <c r="D115" s="173"/>
      <c r="E115" s="173"/>
      <c r="F115" s="173"/>
      <c r="G115" s="173"/>
      <c r="H115" s="173"/>
      <c r="I115" s="173"/>
      <c r="J115" s="173"/>
      <c r="K115" s="173"/>
      <c r="L115" s="173"/>
      <c r="M115" s="173"/>
      <c r="N115" s="173"/>
      <c r="O115" s="173"/>
      <c r="P115" s="173"/>
      <c r="Q115" s="173"/>
      <c r="R115" s="173"/>
      <c r="S115" s="173"/>
      <c r="T115" s="173"/>
      <c r="U115" s="173"/>
      <c r="V115" s="173"/>
      <c r="W115" s="174"/>
      <c r="X115" s="174"/>
      <c r="Y115" s="174"/>
      <c r="Z115" s="174"/>
      <c r="AA115" s="413"/>
      <c r="AB115" s="223">
        <f>IF(ISBLANK('Weapons &amp; Gear'!B7),'Weapons &amp; Gear'!J7,'Weapons &amp; Gear'!J7*'Weapons &amp; Gear'!B7)</f>
        <v>0</v>
      </c>
      <c r="AC115" s="175"/>
      <c r="AD115" s="413"/>
      <c r="AE115" s="413"/>
      <c r="AF115" s="413"/>
      <c r="AG115" s="414"/>
      <c r="AH115" s="414"/>
      <c r="AI115" s="414"/>
      <c r="AJ115" s="414"/>
      <c r="AK115" s="414"/>
      <c r="AL115" s="414"/>
      <c r="AM115" s="414"/>
      <c r="AN115" s="418"/>
      <c r="AO115" s="411"/>
      <c r="AP115" s="411"/>
      <c r="AQ115" s="411"/>
      <c r="AR115" s="415"/>
      <c r="AS115" s="416" t="str">
        <f t="shared" si="40"/>
        <v/>
      </c>
    </row>
    <row r="116">
      <c r="A116" s="419"/>
      <c r="B116" s="173"/>
      <c r="C116" s="173"/>
      <c r="D116" s="173"/>
      <c r="E116" s="173"/>
      <c r="F116" s="173"/>
      <c r="G116" s="173"/>
      <c r="H116" s="173"/>
      <c r="I116" s="173"/>
      <c r="J116" s="173"/>
      <c r="K116" s="173"/>
      <c r="L116" s="173"/>
      <c r="M116" s="173"/>
      <c r="N116" s="173"/>
      <c r="O116" s="173"/>
      <c r="P116" s="338"/>
      <c r="R116" s="175"/>
      <c r="S116" s="175"/>
      <c r="T116" s="175"/>
      <c r="U116" s="175"/>
      <c r="V116" s="175"/>
      <c r="W116" s="174"/>
      <c r="X116" s="174"/>
      <c r="Y116" s="174"/>
      <c r="Z116" s="174"/>
      <c r="AA116" s="413"/>
      <c r="AB116" s="223">
        <f>IF(ISBLANK('Weapons &amp; Gear'!B8),'Weapons &amp; Gear'!J8,'Weapons &amp; Gear'!J8*'Weapons &amp; Gear'!B8)</f>
        <v>0</v>
      </c>
      <c r="AC116" s="175"/>
      <c r="AD116" s="413"/>
      <c r="AE116" s="414"/>
      <c r="AF116" s="414"/>
      <c r="AG116" s="414"/>
      <c r="AH116" s="414"/>
      <c r="AI116" s="413"/>
      <c r="AJ116" s="414"/>
      <c r="AK116" s="413"/>
      <c r="AL116" s="413"/>
      <c r="AM116" s="413"/>
      <c r="AN116" s="418"/>
      <c r="AO116" s="412"/>
      <c r="AP116" s="412"/>
      <c r="AQ116" s="411"/>
      <c r="AR116" s="415"/>
      <c r="AS116" s="416" t="str">
        <f t="shared" si="40"/>
        <v/>
      </c>
    </row>
    <row r="117">
      <c r="A117" s="419"/>
      <c r="B117" s="173"/>
      <c r="C117" s="173"/>
      <c r="D117" s="173"/>
      <c r="E117" s="173"/>
      <c r="F117" s="173"/>
      <c r="G117" s="173"/>
      <c r="H117" s="173"/>
      <c r="I117" s="173"/>
      <c r="J117" s="173"/>
      <c r="K117" s="173"/>
      <c r="L117" s="173"/>
      <c r="M117" s="173"/>
      <c r="N117" s="173"/>
      <c r="O117" s="173"/>
      <c r="P117" s="338"/>
      <c r="R117" s="175"/>
      <c r="S117" s="175"/>
      <c r="T117" s="175"/>
      <c r="U117" s="175"/>
      <c r="V117" s="175"/>
      <c r="W117" s="174"/>
      <c r="X117" s="174"/>
      <c r="Y117" s="174"/>
      <c r="Z117" s="174"/>
      <c r="AA117" s="413"/>
      <c r="AB117" s="223">
        <f>IF(ISBLANK('Weapons &amp; Gear'!B9),'Weapons &amp; Gear'!J9,'Weapons &amp; Gear'!J9*'Weapons &amp; Gear'!B9)</f>
        <v>0</v>
      </c>
      <c r="AC117" s="175"/>
      <c r="AD117" s="414"/>
      <c r="AE117" s="413"/>
      <c r="AF117" s="414"/>
      <c r="AG117" s="414"/>
      <c r="AH117" s="414"/>
      <c r="AI117" s="413"/>
      <c r="AJ117" s="414"/>
      <c r="AK117" s="413"/>
      <c r="AL117" s="414"/>
      <c r="AM117" s="413"/>
      <c r="AN117" s="418"/>
      <c r="AO117" s="411"/>
      <c r="AP117" s="411"/>
      <c r="AQ117" s="411"/>
      <c r="AR117" s="415"/>
      <c r="AS117" s="416" t="str">
        <f t="shared" si="40"/>
        <v/>
      </c>
    </row>
    <row r="118">
      <c r="A118" s="419"/>
      <c r="B118" s="173"/>
      <c r="C118" s="173"/>
      <c r="D118" s="173"/>
      <c r="E118" s="173"/>
      <c r="F118" s="173"/>
      <c r="G118" s="173"/>
      <c r="H118" s="173"/>
      <c r="I118" s="173"/>
      <c r="J118" s="173"/>
      <c r="K118" s="173"/>
      <c r="L118" s="173"/>
      <c r="M118" s="173"/>
      <c r="N118" s="173"/>
      <c r="O118" s="173"/>
      <c r="P118" s="338"/>
      <c r="R118" s="175"/>
      <c r="S118" s="175"/>
      <c r="T118" s="175"/>
      <c r="U118" s="175"/>
      <c r="V118" s="175"/>
      <c r="W118" s="174"/>
      <c r="X118" s="174"/>
      <c r="Y118" s="174"/>
      <c r="Z118" s="174"/>
      <c r="AA118" s="413"/>
      <c r="AB118" s="223">
        <f>IF(ISBLANK('Weapons &amp; Gear'!B10),'Weapons &amp; Gear'!J10,'Weapons &amp; Gear'!J10*'Weapons &amp; Gear'!B10)</f>
        <v>0</v>
      </c>
      <c r="AC118" s="175"/>
      <c r="AD118" s="413"/>
      <c r="AE118" s="414"/>
      <c r="AF118" s="413"/>
      <c r="AG118" s="413"/>
      <c r="AH118" s="413"/>
      <c r="AI118" s="413"/>
      <c r="AJ118" s="414"/>
      <c r="AK118" s="414"/>
      <c r="AL118" s="414"/>
      <c r="AM118" s="414"/>
      <c r="AN118" s="418"/>
      <c r="AO118" s="411"/>
      <c r="AP118" s="411"/>
      <c r="AQ118" s="411"/>
      <c r="AR118" s="415"/>
      <c r="AS118" s="416" t="str">
        <f t="shared" si="40"/>
        <v/>
      </c>
    </row>
    <row r="119">
      <c r="A119" s="419"/>
      <c r="B119" s="173"/>
      <c r="C119" s="173"/>
      <c r="D119" s="173"/>
      <c r="E119" s="173"/>
      <c r="F119" s="173"/>
      <c r="G119" s="173"/>
      <c r="H119" s="173"/>
      <c r="I119" s="173"/>
      <c r="J119" s="173"/>
      <c r="K119" s="173"/>
      <c r="L119" s="173"/>
      <c r="M119" s="173"/>
      <c r="N119" s="173"/>
      <c r="O119" s="173"/>
      <c r="P119" s="338"/>
      <c r="R119" s="175"/>
      <c r="S119" s="420"/>
      <c r="T119" s="175"/>
      <c r="U119" s="175"/>
      <c r="V119" s="175"/>
      <c r="W119" s="174"/>
      <c r="X119" s="174"/>
      <c r="Y119" s="174"/>
      <c r="Z119" s="174"/>
      <c r="AA119" s="413"/>
      <c r="AB119" s="223">
        <f>IF(ISBLANK('Weapons &amp; Gear'!B11),'Weapons &amp; Gear'!J11,'Weapons &amp; Gear'!J11*'Weapons &amp; Gear'!B11)</f>
        <v>0</v>
      </c>
      <c r="AC119" s="175"/>
      <c r="AD119" s="414"/>
      <c r="AE119" s="414"/>
      <c r="AF119" s="413"/>
      <c r="AG119" s="414"/>
      <c r="AH119" s="413"/>
      <c r="AI119" s="414"/>
      <c r="AJ119" s="413"/>
      <c r="AK119" s="414"/>
      <c r="AL119" s="413"/>
      <c r="AM119" s="414"/>
      <c r="AN119" s="418"/>
      <c r="AO119" s="412"/>
      <c r="AP119" s="411"/>
      <c r="AQ119" s="411"/>
      <c r="AR119" s="415"/>
      <c r="AS119" s="416" t="str">
        <f t="shared" si="40"/>
        <v/>
      </c>
    </row>
    <row r="120">
      <c r="A120" s="419"/>
      <c r="B120" s="173"/>
      <c r="C120" s="173"/>
      <c r="D120" s="173"/>
      <c r="E120" s="173"/>
      <c r="F120" s="173"/>
      <c r="G120" s="173"/>
      <c r="H120" s="173"/>
      <c r="I120" s="173"/>
      <c r="J120" s="173"/>
      <c r="K120" s="173"/>
      <c r="L120" s="173"/>
      <c r="M120" s="173"/>
      <c r="N120" s="173"/>
      <c r="O120" s="173"/>
      <c r="P120" s="338"/>
      <c r="R120" s="175"/>
      <c r="S120" s="175"/>
      <c r="T120" s="175"/>
      <c r="U120" s="175"/>
      <c r="V120" s="175"/>
      <c r="W120" s="174"/>
      <c r="X120" s="174"/>
      <c r="Y120" s="174"/>
      <c r="Z120" s="174"/>
      <c r="AA120" s="413"/>
      <c r="AB120" s="223">
        <f>IF(ISBLANK('Weapons &amp; Gear'!B12),'Weapons &amp; Gear'!J12,'Weapons &amp; Gear'!J12*'Weapons &amp; Gear'!B12)</f>
        <v>0</v>
      </c>
      <c r="AC120" s="175"/>
      <c r="AD120" s="414"/>
      <c r="AE120" s="414"/>
      <c r="AF120" s="414"/>
      <c r="AG120" s="414"/>
      <c r="AH120" s="413"/>
      <c r="AI120" s="413"/>
      <c r="AJ120" s="414"/>
      <c r="AK120" s="414"/>
      <c r="AL120" s="414"/>
      <c r="AM120" s="413"/>
      <c r="AN120" s="418"/>
      <c r="AO120" s="411"/>
      <c r="AP120" s="411"/>
      <c r="AQ120" s="411"/>
      <c r="AR120" s="415"/>
      <c r="AS120" s="416" t="str">
        <f t="shared" si="40"/>
        <v/>
      </c>
    </row>
    <row r="121">
      <c r="A121" s="419"/>
      <c r="B121" s="173"/>
      <c r="C121" s="173"/>
      <c r="D121" s="173"/>
      <c r="E121" s="173"/>
      <c r="F121" s="173"/>
      <c r="G121" s="173"/>
      <c r="H121" s="173"/>
      <c r="I121" s="173"/>
      <c r="J121" s="173"/>
      <c r="K121" s="173"/>
      <c r="L121" s="173"/>
      <c r="M121" s="173"/>
      <c r="N121" s="173"/>
      <c r="O121" s="173"/>
      <c r="P121" s="338"/>
      <c r="R121" s="175"/>
      <c r="S121" s="175"/>
      <c r="T121" s="175"/>
      <c r="U121" s="175"/>
      <c r="V121" s="175"/>
      <c r="W121" s="174"/>
      <c r="X121" s="174" t="str">
        <f>IF(X122="-(d6) ","-",X122)</f>
        <v>-</v>
      </c>
      <c r="Y121" s="174"/>
      <c r="Z121" s="174"/>
      <c r="AA121" s="413"/>
      <c r="AB121" s="223">
        <f>IF(ISBLANK('Weapons &amp; Gear'!B13),'Weapons &amp; Gear'!J13,'Weapons &amp; Gear'!J13*'Weapons &amp; Gear'!B13)</f>
        <v>0</v>
      </c>
      <c r="AC121" s="175"/>
      <c r="AD121" s="413"/>
      <c r="AE121" s="414"/>
      <c r="AF121" s="413"/>
      <c r="AG121" s="414"/>
      <c r="AH121" s="413"/>
      <c r="AI121" s="414"/>
      <c r="AJ121" s="413"/>
      <c r="AK121" s="414"/>
      <c r="AL121" s="414"/>
      <c r="AM121" s="414"/>
      <c r="AN121" s="418"/>
      <c r="AO121" s="412"/>
      <c r="AP121" s="411"/>
      <c r="AQ121" s="411"/>
      <c r="AR121" s="415"/>
      <c r="AS121" s="416" t="str">
        <f t="shared" si="40"/>
        <v/>
      </c>
    </row>
    <row r="122">
      <c r="A122" s="419"/>
      <c r="B122" s="173"/>
      <c r="C122" s="173"/>
      <c r="D122" s="173"/>
      <c r="E122" s="173"/>
      <c r="F122" s="173"/>
      <c r="G122" s="173"/>
      <c r="H122" s="173"/>
      <c r="I122" s="173"/>
      <c r="J122" s="173"/>
      <c r="K122" s="173"/>
      <c r="L122" s="173"/>
      <c r="M122" s="173"/>
      <c r="N122" s="173"/>
      <c r="O122" s="421"/>
      <c r="P122" s="338"/>
      <c r="R122" s="175"/>
      <c r="S122" s="175"/>
      <c r="T122" s="175"/>
      <c r="U122" s="175"/>
      <c r="V122" s="175"/>
      <c r="W122" s="172"/>
      <c r="X122" s="174" t="str">
        <f>CONCATENATE(VLOOKUP(P3,'Race Modification'!C2:AY55,46,FALSE),"(",VLOOKUP(P3,'Race Modification'!C2:AY55,47,FALSE),"d6) ",X124)</f>
        <v>-(d6) </v>
      </c>
      <c r="Y122" s="174"/>
      <c r="Z122" s="174"/>
      <c r="AA122" s="413"/>
      <c r="AB122" s="223">
        <f>IF(ISBLANK('Weapons &amp; Gear'!B14),'Weapons &amp; Gear'!J14,'Weapons &amp; Gear'!J14*'Weapons &amp; Gear'!B14)</f>
        <v>0</v>
      </c>
      <c r="AC122" s="175"/>
      <c r="AD122" s="413"/>
      <c r="AE122" s="413"/>
      <c r="AF122" s="414"/>
      <c r="AG122" s="414"/>
      <c r="AH122" s="413"/>
      <c r="AI122" s="414"/>
      <c r="AJ122" s="413"/>
      <c r="AK122" s="414"/>
      <c r="AL122" s="414"/>
      <c r="AM122" s="414"/>
      <c r="AN122" s="418"/>
      <c r="AO122" s="411"/>
      <c r="AP122" s="411"/>
      <c r="AQ122" s="411"/>
      <c r="AR122" s="415"/>
      <c r="AS122" s="416" t="str">
        <f t="shared" si="40"/>
        <v/>
      </c>
    </row>
    <row r="123">
      <c r="A123" s="419"/>
      <c r="B123" s="173"/>
      <c r="C123" s="173"/>
      <c r="D123" s="173"/>
      <c r="E123" s="173"/>
      <c r="F123" s="173"/>
      <c r="G123" s="173"/>
      <c r="H123" s="173"/>
      <c r="I123" s="173"/>
      <c r="J123" s="173"/>
      <c r="K123" s="173"/>
      <c r="L123" s="173"/>
      <c r="M123" s="173"/>
      <c r="N123" s="173"/>
      <c r="O123" s="421"/>
      <c r="P123" s="338"/>
      <c r="R123" s="175"/>
      <c r="S123" s="422" t="str">
        <f>VLOOKUP(P3,'Race Modification'!C2:BP55,23,FALSE)</f>
        <v>-</v>
      </c>
      <c r="T123" s="422" t="str">
        <f>VLOOKUP(P3,'Race Modification'!C2:BP55,24,FALSE)</f>
        <v/>
      </c>
      <c r="U123" s="175"/>
      <c r="V123" s="175"/>
      <c r="W123" s="172"/>
      <c r="X123" s="174"/>
      <c r="Y123" s="174"/>
      <c r="Z123" s="174"/>
      <c r="AA123" s="413"/>
      <c r="AB123" s="223">
        <f>IF(ISBLANK('Weapons &amp; Gear'!B15),'Weapons &amp; Gear'!J15,'Weapons &amp; Gear'!J15*'Weapons &amp; Gear'!B15)</f>
        <v>0</v>
      </c>
      <c r="AC123" s="175"/>
      <c r="AD123" s="413"/>
      <c r="AE123" s="413"/>
      <c r="AF123" s="414"/>
      <c r="AG123" s="413"/>
      <c r="AH123" s="413"/>
      <c r="AI123" s="414"/>
      <c r="AJ123" s="413"/>
      <c r="AK123" s="414"/>
      <c r="AL123" s="414"/>
      <c r="AM123" s="414"/>
      <c r="AN123" s="418"/>
      <c r="AO123" s="411"/>
      <c r="AP123" s="411"/>
      <c r="AQ123" s="411"/>
      <c r="AR123" s="415"/>
      <c r="AS123" s="416" t="str">
        <f t="shared" si="40"/>
        <v/>
      </c>
    </row>
    <row r="124">
      <c r="A124" s="419"/>
      <c r="B124" s="422"/>
      <c r="C124" s="422"/>
      <c r="D124" s="422"/>
      <c r="E124" s="422"/>
      <c r="F124" s="422"/>
      <c r="G124" s="422"/>
      <c r="H124" s="422"/>
      <c r="I124" s="422"/>
      <c r="J124" s="422"/>
      <c r="K124" s="422"/>
      <c r="L124" s="422"/>
      <c r="M124" s="422"/>
      <c r="N124" s="422"/>
      <c r="O124" s="421"/>
      <c r="P124" s="338"/>
      <c r="R124" s="175"/>
      <c r="S124" s="422" t="str">
        <f>VLOOKUP(P3,'Race Modification'!C2:BP55,25,FALSE)</f>
        <v>-</v>
      </c>
      <c r="T124" s="422" t="str">
        <f>VLOOKUP(P3,'Race Modification'!C2:BP55,26,FALSE)</f>
        <v/>
      </c>
      <c r="U124" s="175"/>
      <c r="V124" s="175"/>
      <c r="W124" s="172"/>
      <c r="X124" s="174" t="str">
        <f>IF(X125="-(d6) ","",X125)</f>
        <v/>
      </c>
      <c r="Y124" s="174"/>
      <c r="Z124" s="174"/>
      <c r="AA124" s="413"/>
      <c r="AB124" s="223">
        <f>IF(ISBLANK('Weapons &amp; Gear'!B16),'Weapons &amp; Gear'!J16,'Weapons &amp; Gear'!J16*'Weapons &amp; Gear'!B16)</f>
        <v>0</v>
      </c>
      <c r="AC124" s="175"/>
      <c r="AD124" s="413"/>
      <c r="AE124" s="413"/>
      <c r="AF124" s="414"/>
      <c r="AG124" s="414"/>
      <c r="AH124" s="413"/>
      <c r="AI124" s="413"/>
      <c r="AJ124" s="414"/>
      <c r="AK124" s="414"/>
      <c r="AL124" s="414"/>
      <c r="AM124" s="414"/>
      <c r="AN124" s="418"/>
      <c r="AO124" s="411"/>
      <c r="AP124" s="411"/>
      <c r="AQ124" s="411"/>
      <c r="AR124" s="415"/>
      <c r="AS124" s="416" t="str">
        <f t="shared" si="40"/>
        <v/>
      </c>
    </row>
    <row r="125">
      <c r="A125" s="419"/>
      <c r="B125" s="422">
        <f>IF(C92="Exosuit, full",1,0)</f>
        <v>0</v>
      </c>
      <c r="C125" s="422">
        <f>IF(C92="Exosuit, full",1,0)</f>
        <v>0</v>
      </c>
      <c r="D125" s="422">
        <f>IF(C92="Exosuit, partial",1,0)</f>
        <v>0</v>
      </c>
      <c r="E125" s="422">
        <f>IF(C92="Artificial arm",1,0)</f>
        <v>0</v>
      </c>
      <c r="F125" s="422">
        <f>IF(C92="Artificial leg",1,0)</f>
        <v>0</v>
      </c>
      <c r="G125" s="422">
        <f>IF(C92="Digiclaws",1,0)</f>
        <v>0</v>
      </c>
      <c r="H125" s="422">
        <f>IF(C92="Sub-dermal plating",5,0)</f>
        <v>0</v>
      </c>
      <c r="I125" s="422">
        <f>IF(C92="Duraskin",2,0)</f>
        <v>0</v>
      </c>
      <c r="J125" s="422"/>
      <c r="K125" s="422"/>
      <c r="L125" s="422">
        <f>IF(C92="Duraskin",5,0)</f>
        <v>0</v>
      </c>
      <c r="M125" s="423">
        <f>IF(C92="Memory chip",1,0)</f>
        <v>0</v>
      </c>
      <c r="N125" s="422">
        <f>IF(C92="Psionic scrambler",5,0)</f>
        <v>0</v>
      </c>
      <c r="O125" s="421"/>
      <c r="P125" s="424"/>
      <c r="Q125" s="424"/>
      <c r="R125" s="175"/>
      <c r="S125" s="338" t="str">
        <f>IFERROR(__xludf.DUMMYFUNCTION("IF(ISNA(FILTER('Stat Modification'!B3:B100,'Stat Modification'!B3:B100&lt;&gt;"""")),"""",FILTER('Stat Modification'!B3:B100,'Stat Modification'!B3:B100&lt;&gt;""""))"),"-")</f>
        <v>-</v>
      </c>
      <c r="T125" s="338"/>
      <c r="U125" s="175"/>
      <c r="V125" s="175"/>
      <c r="W125" s="172"/>
      <c r="X125" s="174" t="str">
        <f>CONCATENATE(VLOOKUP(P3,'Race Modification'!C2:AY55,48,FALSE),"(",VLOOKUP(P3,'Race Modification'!C2:AY55,49,FALSE),"d6) ")</f>
        <v>-(d6) </v>
      </c>
      <c r="Y125" s="174"/>
      <c r="Z125" s="174"/>
      <c r="AA125" s="413"/>
      <c r="AB125" s="223">
        <f>IF(ISBLANK('Weapons &amp; Gear'!B17),'Weapons &amp; Gear'!J17,'Weapons &amp; Gear'!J17*'Weapons &amp; Gear'!B17)</f>
        <v>0</v>
      </c>
      <c r="AC125" s="175"/>
      <c r="AD125" s="413"/>
      <c r="AE125" s="414"/>
      <c r="AF125" s="413"/>
      <c r="AG125" s="414"/>
      <c r="AH125" s="414"/>
      <c r="AI125" s="413"/>
      <c r="AJ125" s="414"/>
      <c r="AK125" s="414"/>
      <c r="AL125" s="414"/>
      <c r="AM125" s="414"/>
      <c r="AN125" s="418"/>
      <c r="AO125" s="411"/>
      <c r="AP125" s="411"/>
      <c r="AQ125" s="411"/>
      <c r="AR125" s="415"/>
      <c r="AS125" s="416" t="str">
        <f t="shared" si="40"/>
        <v/>
      </c>
    </row>
    <row r="126">
      <c r="A126" s="419"/>
      <c r="B126" s="422"/>
      <c r="C126" s="422"/>
      <c r="D126" s="422"/>
      <c r="E126" s="422"/>
      <c r="F126" s="422"/>
      <c r="G126" s="422"/>
      <c r="H126" s="422"/>
      <c r="I126" s="422"/>
      <c r="J126" s="422"/>
      <c r="K126" s="422"/>
      <c r="L126" s="422"/>
      <c r="M126" s="423"/>
      <c r="N126" s="422"/>
      <c r="O126" s="421"/>
      <c r="P126" s="338"/>
      <c r="R126" s="175"/>
      <c r="S126" s="175" t="s">
        <v>199</v>
      </c>
      <c r="T126" s="175">
        <f t="shared" ref="T126:T203" si="41">IF($S$123=S126,$T$123,0)+IF($S$124=S126,$T$124,0)</f>
        <v>0</v>
      </c>
      <c r="U126" s="175">
        <f t="shared" ref="U126:U203" si="42">IF(S126=$D$155,$D$156,0)+IF(S126=$E$155,$E$156,0)+IF(S126=$F$155,$F$156)</f>
        <v>0</v>
      </c>
      <c r="V126" s="175">
        <f t="shared" ref="V126:V203" si="43">IF(S126=$G$155,$C$155-($C$155*2),0)+IF(S126=$L$155,$C$155-($C$155*2),0)</f>
        <v>0</v>
      </c>
      <c r="W126" s="172"/>
      <c r="X126" s="174"/>
      <c r="Y126" s="174"/>
      <c r="Z126" s="174"/>
      <c r="AA126" s="413"/>
      <c r="AB126" s="223">
        <f>IF(ISBLANK('Weapons &amp; Gear'!B18),'Weapons &amp; Gear'!J18,'Weapons &amp; Gear'!J18*'Weapons &amp; Gear'!B18)</f>
        <v>0</v>
      </c>
      <c r="AC126" s="175"/>
      <c r="AD126" s="414"/>
      <c r="AE126" s="413"/>
      <c r="AF126" s="414"/>
      <c r="AG126" s="414"/>
      <c r="AH126" s="413"/>
      <c r="AI126" s="414"/>
      <c r="AJ126" s="413"/>
      <c r="AK126" s="414"/>
      <c r="AL126" s="414"/>
      <c r="AM126" s="414"/>
      <c r="AN126" s="418"/>
      <c r="AO126" s="411"/>
      <c r="AP126" s="425"/>
      <c r="AQ126" s="425"/>
      <c r="AR126" s="415"/>
      <c r="AS126" s="416" t="str">
        <f t="shared" si="40"/>
        <v/>
      </c>
    </row>
    <row r="127">
      <c r="A127" s="419"/>
      <c r="B127" s="422">
        <f>IF(C94="Exosuit, full",1,0)</f>
        <v>0</v>
      </c>
      <c r="C127" s="422">
        <f>IF(C94="Exosuit, full",1,0)</f>
        <v>0</v>
      </c>
      <c r="D127" s="422">
        <f>IF(C94="Exosuit, partial",1,0)</f>
        <v>0</v>
      </c>
      <c r="E127" s="422">
        <f>IF(C94="Artificial arm",1,0)</f>
        <v>0</v>
      </c>
      <c r="F127" s="422">
        <f>IF(C94="Artificial leg",1,0)</f>
        <v>0</v>
      </c>
      <c r="G127" s="422">
        <f>IF(C94="Digiclaws",1,0)</f>
        <v>0</v>
      </c>
      <c r="H127" s="422">
        <f>IF(C94="Sub-dermal plating",5,0)</f>
        <v>0</v>
      </c>
      <c r="I127" s="422">
        <f>IF(C94="Duraskin",2,0)</f>
        <v>0</v>
      </c>
      <c r="J127" s="422"/>
      <c r="K127" s="422"/>
      <c r="L127" s="422">
        <f>IF(C94="Duraskin",5,0)</f>
        <v>0</v>
      </c>
      <c r="M127" s="423">
        <f>IF(C94="Memory chip",1,0)</f>
        <v>0</v>
      </c>
      <c r="N127" s="422">
        <f>IF(C94="Psionic scrambler",5,0)</f>
        <v>0</v>
      </c>
      <c r="O127" s="421"/>
      <c r="P127" s="338"/>
      <c r="R127" s="175"/>
      <c r="S127" s="175" t="s">
        <v>371</v>
      </c>
      <c r="T127" s="175">
        <f t="shared" si="41"/>
        <v>0</v>
      </c>
      <c r="U127" s="175">
        <f t="shared" si="42"/>
        <v>0</v>
      </c>
      <c r="V127" s="175">
        <f t="shared" si="43"/>
        <v>0</v>
      </c>
      <c r="W127" s="172"/>
      <c r="X127" s="174"/>
      <c r="Y127" s="174"/>
      <c r="Z127" s="174"/>
      <c r="AA127" s="413"/>
      <c r="AB127" s="223">
        <f>IF(ISBLANK('Weapons &amp; Gear'!B19),'Weapons &amp; Gear'!J19,'Weapons &amp; Gear'!J19*'Weapons &amp; Gear'!B19)</f>
        <v>0</v>
      </c>
      <c r="AC127" s="175"/>
      <c r="AD127" s="413"/>
      <c r="AE127" s="414"/>
      <c r="AF127" s="413"/>
      <c r="AG127" s="414"/>
      <c r="AH127" s="413"/>
      <c r="AI127" s="413"/>
      <c r="AJ127" s="414"/>
      <c r="AK127" s="413"/>
      <c r="AL127" s="414"/>
      <c r="AM127" s="414"/>
      <c r="AN127" s="418"/>
      <c r="AO127" s="411"/>
      <c r="AP127" s="425"/>
      <c r="AQ127" s="425"/>
      <c r="AR127" s="415"/>
      <c r="AS127" s="416" t="str">
        <f t="shared" si="40"/>
        <v/>
      </c>
    </row>
    <row r="128">
      <c r="A128" s="419"/>
      <c r="B128" s="422"/>
      <c r="C128" s="422"/>
      <c r="D128" s="422"/>
      <c r="E128" s="422"/>
      <c r="F128" s="422"/>
      <c r="G128" s="422"/>
      <c r="H128" s="422"/>
      <c r="I128" s="422"/>
      <c r="J128" s="422"/>
      <c r="K128" s="422"/>
      <c r="L128" s="422"/>
      <c r="M128" s="423"/>
      <c r="N128" s="422"/>
      <c r="O128" s="421"/>
      <c r="P128" s="338"/>
      <c r="R128" s="175"/>
      <c r="S128" s="175" t="s">
        <v>389</v>
      </c>
      <c r="T128" s="175">
        <f t="shared" si="41"/>
        <v>0</v>
      </c>
      <c r="U128" s="175">
        <f t="shared" si="42"/>
        <v>0</v>
      </c>
      <c r="V128" s="175">
        <f t="shared" si="43"/>
        <v>0</v>
      </c>
      <c r="W128" s="172"/>
      <c r="X128" s="174"/>
      <c r="Y128" s="174"/>
      <c r="Z128" s="174"/>
      <c r="AA128" s="413"/>
      <c r="AB128" s="223">
        <f>IF(ISBLANK('Weapons &amp; Gear'!B20),'Weapons &amp; Gear'!J20,'Weapons &amp; Gear'!J20*'Weapons &amp; Gear'!B20)</f>
        <v>0</v>
      </c>
      <c r="AC128" s="175"/>
      <c r="AD128" s="413"/>
      <c r="AE128" s="413"/>
      <c r="AF128" s="414"/>
      <c r="AG128" s="413"/>
      <c r="AH128" s="414"/>
      <c r="AI128" s="414"/>
      <c r="AJ128" s="414"/>
      <c r="AK128" s="414"/>
      <c r="AL128" s="413"/>
      <c r="AM128" s="414"/>
      <c r="AN128" s="418"/>
      <c r="AO128" s="411"/>
      <c r="AP128" s="425"/>
      <c r="AQ128" s="425"/>
      <c r="AR128" s="415"/>
      <c r="AS128" s="416" t="str">
        <f t="shared" si="40"/>
        <v/>
      </c>
    </row>
    <row r="129">
      <c r="A129" s="419"/>
      <c r="B129" s="422">
        <f>IF(C96="Exosuit, full",1,0)</f>
        <v>0</v>
      </c>
      <c r="C129" s="422">
        <f>IF(C96="Exosuit, full",1,0)</f>
        <v>0</v>
      </c>
      <c r="D129" s="422">
        <f>IF(C96="Exosuit, partial",1,0)</f>
        <v>0</v>
      </c>
      <c r="E129" s="422">
        <f>IF(C96="Artificial arm",1,0)</f>
        <v>0</v>
      </c>
      <c r="F129" s="422">
        <f>IF(C96="Artificial leg",1,0)</f>
        <v>0</v>
      </c>
      <c r="G129" s="422">
        <f>IF(C96="Digiclaws",1,0)</f>
        <v>0</v>
      </c>
      <c r="H129" s="422">
        <f>IF(C96="Sub-dermal plating",5,0)</f>
        <v>0</v>
      </c>
      <c r="I129" s="422">
        <f>IF(C96="Duraskin",2,0)</f>
        <v>0</v>
      </c>
      <c r="J129" s="422"/>
      <c r="K129" s="422"/>
      <c r="L129" s="422">
        <f>IF(C96="Duraskin",5,0)</f>
        <v>0</v>
      </c>
      <c r="M129" s="423">
        <f>IF(C96="Memory chip",1,0)</f>
        <v>0</v>
      </c>
      <c r="N129" s="422">
        <f>IF(C96="Psionic scrambler",5,0)</f>
        <v>0</v>
      </c>
      <c r="O129" s="421"/>
      <c r="P129" s="338"/>
      <c r="R129" s="175"/>
      <c r="S129" s="172" t="s">
        <v>406</v>
      </c>
      <c r="T129" s="175">
        <f t="shared" si="41"/>
        <v>0</v>
      </c>
      <c r="U129" s="175">
        <f t="shared" si="42"/>
        <v>0</v>
      </c>
      <c r="V129" s="175">
        <f t="shared" si="43"/>
        <v>0</v>
      </c>
      <c r="W129" s="172"/>
      <c r="X129" s="174"/>
      <c r="Y129" s="174"/>
      <c r="Z129" s="174"/>
      <c r="AA129" s="413"/>
      <c r="AB129" s="223">
        <f>IF(ISBLANK('Weapons &amp; Gear'!B21),'Weapons &amp; Gear'!J21,'Weapons &amp; Gear'!J21*'Weapons &amp; Gear'!B21)</f>
        <v>0</v>
      </c>
      <c r="AC129" s="175"/>
      <c r="AD129" s="414"/>
      <c r="AE129" s="413"/>
      <c r="AF129" s="414"/>
      <c r="AG129" s="413"/>
      <c r="AH129" s="413"/>
      <c r="AI129" s="414"/>
      <c r="AJ129" s="414"/>
      <c r="AK129" s="413"/>
      <c r="AL129" s="414"/>
      <c r="AM129" s="414"/>
      <c r="AN129" s="418"/>
      <c r="AO129" s="411"/>
      <c r="AP129" s="425"/>
      <c r="AQ129" s="425"/>
      <c r="AR129" s="415"/>
      <c r="AS129" s="416" t="str">
        <f t="shared" si="40"/>
        <v/>
      </c>
    </row>
    <row r="130">
      <c r="A130" s="419"/>
      <c r="B130" s="422"/>
      <c r="C130" s="422"/>
      <c r="D130" s="422"/>
      <c r="E130" s="422"/>
      <c r="F130" s="422"/>
      <c r="G130" s="422"/>
      <c r="H130" s="422"/>
      <c r="I130" s="422"/>
      <c r="J130" s="422"/>
      <c r="K130" s="422"/>
      <c r="L130" s="422"/>
      <c r="M130" s="423"/>
      <c r="N130" s="422"/>
      <c r="O130" s="421"/>
      <c r="P130" s="338"/>
      <c r="R130" s="172"/>
      <c r="S130" s="172" t="s">
        <v>214</v>
      </c>
      <c r="T130" s="175">
        <f t="shared" si="41"/>
        <v>0</v>
      </c>
      <c r="U130" s="175">
        <f t="shared" si="42"/>
        <v>0</v>
      </c>
      <c r="V130" s="175">
        <f t="shared" si="43"/>
        <v>0</v>
      </c>
      <c r="W130" s="172"/>
      <c r="X130" s="174"/>
      <c r="Y130" s="174"/>
      <c r="Z130" s="174"/>
      <c r="AA130" s="413"/>
      <c r="AB130" s="223">
        <f>IF(ISBLANK('Weapons &amp; Gear'!B22),'Weapons &amp; Gear'!J22,'Weapons &amp; Gear'!J22*'Weapons &amp; Gear'!B22)</f>
        <v>0</v>
      </c>
      <c r="AC130" s="175"/>
      <c r="AD130" s="414"/>
      <c r="AE130" s="413"/>
      <c r="AF130" s="414"/>
      <c r="AG130" s="414"/>
      <c r="AH130" s="413"/>
      <c r="AI130" s="413"/>
      <c r="AJ130" s="413"/>
      <c r="AK130" s="414"/>
      <c r="AL130" s="414"/>
      <c r="AM130" s="414"/>
      <c r="AN130" s="418"/>
      <c r="AO130" s="412"/>
      <c r="AP130" s="425"/>
      <c r="AQ130" s="425"/>
      <c r="AR130" s="415"/>
      <c r="AS130" s="416" t="str">
        <f t="shared" si="40"/>
        <v/>
      </c>
    </row>
    <row r="131">
      <c r="A131" s="419"/>
      <c r="B131" s="422">
        <f>IF(C98="Exosuit, full",1,0)</f>
        <v>0</v>
      </c>
      <c r="C131" s="422">
        <f>IF(C98="Exosuit, full",1,0)</f>
        <v>0</v>
      </c>
      <c r="D131" s="422">
        <f>IF(C98="Exosuit, partial",1,0)</f>
        <v>0</v>
      </c>
      <c r="E131" s="422">
        <f>IF(C98="Artificial arm",1,0)</f>
        <v>0</v>
      </c>
      <c r="F131" s="422">
        <f>IF(C98="Artificial leg",1,0)</f>
        <v>0</v>
      </c>
      <c r="G131" s="422">
        <f>IF(C98="Digiclaws",1,0)</f>
        <v>0</v>
      </c>
      <c r="H131" s="422">
        <f>IF(C98="Sub-dermal plating",5,0)</f>
        <v>0</v>
      </c>
      <c r="I131" s="422">
        <f>IF(C98="Duraskin",2,0)</f>
        <v>0</v>
      </c>
      <c r="J131" s="422"/>
      <c r="K131" s="422"/>
      <c r="L131" s="422">
        <f>IF(C98="Duraskin",5,0)</f>
        <v>0</v>
      </c>
      <c r="M131" s="423">
        <f>IF(C98="Memory chip",1,0)</f>
        <v>0</v>
      </c>
      <c r="N131" s="422">
        <f>IF(C98="Psionic scrambler",5,0)</f>
        <v>0</v>
      </c>
      <c r="O131" s="421"/>
      <c r="P131" s="338"/>
      <c r="R131" s="172"/>
      <c r="S131" s="172" t="s">
        <v>185</v>
      </c>
      <c r="T131" s="175">
        <f t="shared" si="41"/>
        <v>0</v>
      </c>
      <c r="U131" s="175">
        <f t="shared" si="42"/>
        <v>0</v>
      </c>
      <c r="V131" s="175">
        <f t="shared" si="43"/>
        <v>0</v>
      </c>
      <c r="W131" s="172"/>
      <c r="X131" s="174"/>
      <c r="Y131" s="174"/>
      <c r="Z131" s="174"/>
      <c r="AA131" s="413"/>
      <c r="AB131" s="223">
        <f>IF(ISBLANK('Weapons &amp; Gear'!B23),'Weapons &amp; Gear'!J23,'Weapons &amp; Gear'!J23*'Weapons &amp; Gear'!B23)</f>
        <v>0</v>
      </c>
      <c r="AC131" s="175"/>
      <c r="AD131" s="414"/>
      <c r="AE131" s="414"/>
      <c r="AF131" s="413"/>
      <c r="AG131" s="413"/>
      <c r="AH131" s="413"/>
      <c r="AI131" s="414"/>
      <c r="AJ131" s="414"/>
      <c r="AK131" s="414"/>
      <c r="AL131" s="414"/>
      <c r="AM131" s="413"/>
      <c r="AN131" s="418"/>
      <c r="AO131" s="411"/>
      <c r="AP131" s="425"/>
      <c r="AQ131" s="425"/>
      <c r="AR131" s="415"/>
      <c r="AS131" s="416" t="str">
        <f t="shared" si="40"/>
        <v/>
      </c>
    </row>
    <row r="132">
      <c r="A132" s="419"/>
      <c r="B132" s="422"/>
      <c r="C132" s="422"/>
      <c r="D132" s="422"/>
      <c r="E132" s="422"/>
      <c r="F132" s="422"/>
      <c r="G132" s="422"/>
      <c r="H132" s="422"/>
      <c r="I132" s="422"/>
      <c r="J132" s="422"/>
      <c r="K132" s="422"/>
      <c r="L132" s="422"/>
      <c r="M132" s="423"/>
      <c r="N132" s="422"/>
      <c r="O132" s="421"/>
      <c r="P132" s="338"/>
      <c r="R132" s="172"/>
      <c r="S132" s="172" t="s">
        <v>444</v>
      </c>
      <c r="T132" s="175">
        <f t="shared" si="41"/>
        <v>0</v>
      </c>
      <c r="U132" s="175">
        <f t="shared" si="42"/>
        <v>0</v>
      </c>
      <c r="V132" s="175">
        <f t="shared" si="43"/>
        <v>0</v>
      </c>
      <c r="W132" s="172"/>
      <c r="X132" s="174"/>
      <c r="Y132" s="174"/>
      <c r="Z132" s="174"/>
      <c r="AA132" s="413"/>
      <c r="AB132" s="223">
        <f>IF(ISBLANK('Weapons &amp; Gear'!B24),'Weapons &amp; Gear'!J24,'Weapons &amp; Gear'!J24*'Weapons &amp; Gear'!B24)</f>
        <v>0</v>
      </c>
      <c r="AC132" s="175"/>
      <c r="AD132" s="413"/>
      <c r="AE132" s="413"/>
      <c r="AF132" s="414"/>
      <c r="AG132" s="414"/>
      <c r="AH132" s="413"/>
      <c r="AI132" s="414"/>
      <c r="AJ132" s="413"/>
      <c r="AK132" s="413"/>
      <c r="AL132" s="414"/>
      <c r="AM132" s="414"/>
      <c r="AN132" s="418"/>
      <c r="AO132" s="412"/>
      <c r="AP132" s="425"/>
      <c r="AQ132" s="425"/>
      <c r="AR132" s="415"/>
      <c r="AS132" s="416" t="str">
        <f t="shared" si="40"/>
        <v/>
      </c>
    </row>
    <row r="133">
      <c r="A133" s="285"/>
      <c r="B133" s="422">
        <f>IF(C100="Exosuit, full",1,0)</f>
        <v>0</v>
      </c>
      <c r="C133" s="422">
        <f>IF(C100="Exosuit, full",1,0)</f>
        <v>0</v>
      </c>
      <c r="D133" s="422">
        <f>IF(C100="Exosuit, partial",1,0)</f>
        <v>0</v>
      </c>
      <c r="E133" s="422">
        <f>IF(C100="Artificial arm",1,0)</f>
        <v>0</v>
      </c>
      <c r="F133" s="422">
        <f>IF(C100="Artificial leg",1,0)</f>
        <v>0</v>
      </c>
      <c r="G133" s="422">
        <f>IF(C100="Digiclaws",1,0)</f>
        <v>0</v>
      </c>
      <c r="H133" s="422">
        <f>IF(C100="Sub-dermal plating",5,0)</f>
        <v>0</v>
      </c>
      <c r="I133" s="422">
        <f>IF(C100="Duraskin",2,0)</f>
        <v>0</v>
      </c>
      <c r="J133" s="422"/>
      <c r="K133" s="422"/>
      <c r="L133" s="422">
        <f>IF(C100="Duraskin",5,0)</f>
        <v>0</v>
      </c>
      <c r="M133" s="423">
        <f>IF(C100="Memory chip",1,0)</f>
        <v>0</v>
      </c>
      <c r="N133" s="422">
        <f>IF(C100="Psionic scrambler",5,0)</f>
        <v>0</v>
      </c>
      <c r="O133" s="421"/>
      <c r="P133" s="338"/>
      <c r="R133" s="172"/>
      <c r="S133" s="172" t="s">
        <v>208</v>
      </c>
      <c r="T133" s="175">
        <f t="shared" si="41"/>
        <v>0</v>
      </c>
      <c r="U133" s="175">
        <f t="shared" si="42"/>
        <v>0</v>
      </c>
      <c r="V133" s="175">
        <f t="shared" si="43"/>
        <v>0</v>
      </c>
      <c r="W133" s="172"/>
      <c r="X133" s="174"/>
      <c r="Y133" s="174"/>
      <c r="Z133" s="174"/>
      <c r="AA133" s="413"/>
      <c r="AB133" s="223">
        <f>IF(ISBLANK('Weapons &amp; Gear'!B25),'Weapons &amp; Gear'!J25,'Weapons &amp; Gear'!J25*'Weapons &amp; Gear'!B25)</f>
        <v>0</v>
      </c>
      <c r="AC133" s="175"/>
      <c r="AD133" s="414"/>
      <c r="AE133" s="413"/>
      <c r="AF133" s="414"/>
      <c r="AG133" s="414"/>
      <c r="AH133" s="413"/>
      <c r="AI133" s="413"/>
      <c r="AJ133" s="414"/>
      <c r="AK133" s="414"/>
      <c r="AL133" s="414"/>
      <c r="AM133" s="414"/>
      <c r="AN133" s="418"/>
      <c r="AO133" s="411"/>
      <c r="AP133" s="425"/>
      <c r="AQ133" s="425"/>
      <c r="AR133" s="415"/>
      <c r="AS133" s="416" t="str">
        <f t="shared" si="40"/>
        <v/>
      </c>
    </row>
    <row r="134">
      <c r="A134" s="285"/>
      <c r="B134" s="422"/>
      <c r="C134" s="422"/>
      <c r="D134" s="422"/>
      <c r="E134" s="422"/>
      <c r="F134" s="422"/>
      <c r="G134" s="422"/>
      <c r="H134" s="422"/>
      <c r="I134" s="422"/>
      <c r="J134" s="422"/>
      <c r="K134" s="422"/>
      <c r="L134" s="422"/>
      <c r="M134" s="423"/>
      <c r="N134" s="422"/>
      <c r="O134" s="421"/>
      <c r="P134" s="338"/>
      <c r="R134" s="172"/>
      <c r="S134" s="172" t="s">
        <v>186</v>
      </c>
      <c r="T134" s="175">
        <f t="shared" si="41"/>
        <v>0</v>
      </c>
      <c r="U134" s="175">
        <f t="shared" si="42"/>
        <v>0</v>
      </c>
      <c r="V134" s="175">
        <f t="shared" si="43"/>
        <v>0</v>
      </c>
      <c r="W134" s="172"/>
      <c r="X134" s="174"/>
      <c r="Y134" s="174"/>
      <c r="Z134" s="174"/>
      <c r="AA134" s="414"/>
      <c r="AB134" s="223">
        <f>IF(ISBLANK('Weapons &amp; Gear'!B26),'Weapons &amp; Gear'!J26,'Weapons &amp; Gear'!J26*'Weapons &amp; Gear'!B26)</f>
        <v>0</v>
      </c>
      <c r="AC134" s="172"/>
      <c r="AD134" s="414"/>
      <c r="AE134" s="414"/>
      <c r="AF134" s="414"/>
      <c r="AG134" s="414"/>
      <c r="AH134" s="414"/>
      <c r="AI134" s="414"/>
      <c r="AJ134" s="414"/>
      <c r="AK134" s="414"/>
      <c r="AL134" s="414"/>
      <c r="AM134" s="414"/>
      <c r="AN134" s="410"/>
      <c r="AO134" s="411"/>
      <c r="AP134" s="425"/>
      <c r="AQ134" s="425"/>
      <c r="AR134" s="415"/>
      <c r="AS134" s="416" t="str">
        <f t="shared" si="40"/>
        <v/>
      </c>
    </row>
    <row r="135">
      <c r="A135" s="285"/>
      <c r="B135" s="422">
        <f>IF(C102="Exosuit, full",1,0)</f>
        <v>0</v>
      </c>
      <c r="C135" s="422">
        <f>IF(C102="Exosuit, full",1,0)</f>
        <v>0</v>
      </c>
      <c r="D135" s="422">
        <f>IF(C102="Exosuit, partial",1,0)</f>
        <v>0</v>
      </c>
      <c r="E135" s="422">
        <f>IF(C102="Artificial arm",1,0)</f>
        <v>0</v>
      </c>
      <c r="F135" s="422">
        <f>IF(C102="Artificial leg",1,0)</f>
        <v>0</v>
      </c>
      <c r="G135" s="422">
        <f>IF(C102="Digiclaws",1,0)</f>
        <v>0</v>
      </c>
      <c r="H135" s="422">
        <f>IF(C102="Sub-dermal plating",5,0)</f>
        <v>0</v>
      </c>
      <c r="I135" s="422">
        <f>IF(C102="Duraskin",2,0)</f>
        <v>0</v>
      </c>
      <c r="J135" s="422"/>
      <c r="K135" s="422"/>
      <c r="L135" s="422">
        <f>IF(C102="Duraskin",5,0)</f>
        <v>0</v>
      </c>
      <c r="M135" s="423">
        <f>IF(C102="Memory chip",1,0)</f>
        <v>0</v>
      </c>
      <c r="N135" s="422">
        <f>IF(C102="Psionic scrambler",5,0)</f>
        <v>0</v>
      </c>
      <c r="O135" s="421"/>
      <c r="P135" s="338"/>
      <c r="R135" s="172"/>
      <c r="S135" s="172" t="s">
        <v>217</v>
      </c>
      <c r="T135" s="175">
        <f t="shared" si="41"/>
        <v>0</v>
      </c>
      <c r="U135" s="175">
        <f t="shared" si="42"/>
        <v>0</v>
      </c>
      <c r="V135" s="175">
        <f t="shared" si="43"/>
        <v>0</v>
      </c>
      <c r="W135" s="172"/>
      <c r="X135" s="174"/>
      <c r="Y135" s="174"/>
      <c r="Z135" s="174"/>
      <c r="AA135" s="414"/>
      <c r="AB135" s="223">
        <f>IF(ISBLANK('Weapons &amp; Gear'!B27),'Weapons &amp; Gear'!J27,'Weapons &amp; Gear'!J27*'Weapons &amp; Gear'!B27)</f>
        <v>0</v>
      </c>
      <c r="AC135" s="172"/>
      <c r="AD135" s="414"/>
      <c r="AE135" s="414"/>
      <c r="AF135" s="414"/>
      <c r="AG135" s="414"/>
      <c r="AH135" s="414"/>
      <c r="AI135" s="414"/>
      <c r="AJ135" s="414"/>
      <c r="AK135" s="414"/>
      <c r="AL135" s="414"/>
      <c r="AM135" s="414"/>
      <c r="AN135" s="410"/>
      <c r="AO135" s="411"/>
      <c r="AP135" s="425"/>
      <c r="AQ135" s="425"/>
      <c r="AR135" s="217"/>
      <c r="AS135" s="218" t="str">
        <f t="shared" si="40"/>
        <v/>
      </c>
    </row>
    <row r="136">
      <c r="A136" s="285"/>
      <c r="B136" s="422">
        <f t="shared" ref="B136:I136" si="44">SUM(B125:B135)</f>
        <v>0</v>
      </c>
      <c r="C136" s="422">
        <f t="shared" si="44"/>
        <v>0</v>
      </c>
      <c r="D136" s="422">
        <f t="shared" si="44"/>
        <v>0</v>
      </c>
      <c r="E136" s="422">
        <f t="shared" si="44"/>
        <v>0</v>
      </c>
      <c r="F136" s="422">
        <f t="shared" si="44"/>
        <v>0</v>
      </c>
      <c r="G136" s="422">
        <f t="shared" si="44"/>
        <v>0</v>
      </c>
      <c r="H136" s="422">
        <f t="shared" si="44"/>
        <v>0</v>
      </c>
      <c r="I136" s="422">
        <f t="shared" si="44"/>
        <v>0</v>
      </c>
      <c r="J136" s="422"/>
      <c r="K136" s="422"/>
      <c r="L136" s="422">
        <f t="shared" ref="L136:N136" si="45">SUM(L125:L135)</f>
        <v>0</v>
      </c>
      <c r="M136" s="422">
        <f t="shared" si="45"/>
        <v>0</v>
      </c>
      <c r="N136" s="422">
        <f t="shared" si="45"/>
        <v>0</v>
      </c>
      <c r="O136" s="174"/>
      <c r="P136" s="175"/>
      <c r="Q136" s="175"/>
      <c r="R136" s="175"/>
      <c r="S136" s="175" t="s">
        <v>174</v>
      </c>
      <c r="T136" s="175">
        <f t="shared" si="41"/>
        <v>0</v>
      </c>
      <c r="U136" s="175">
        <f t="shared" si="42"/>
        <v>0</v>
      </c>
      <c r="V136" s="175">
        <f t="shared" si="43"/>
        <v>0</v>
      </c>
      <c r="W136" s="424"/>
      <c r="X136" s="174"/>
      <c r="Y136" s="174"/>
      <c r="Z136" s="174"/>
      <c r="AA136" s="414"/>
      <c r="AB136" s="223">
        <f>IF(ISBLANK('Weapons &amp; Gear'!B28),'Weapons &amp; Gear'!J28,'Weapons &amp; Gear'!J28*'Weapons &amp; Gear'!B28)</f>
        <v>0</v>
      </c>
      <c r="AC136" s="172"/>
      <c r="AD136" s="414"/>
      <c r="AE136" s="414"/>
      <c r="AF136" s="414"/>
      <c r="AG136" s="414"/>
      <c r="AH136" s="414"/>
      <c r="AI136" s="414"/>
      <c r="AJ136" s="414"/>
      <c r="AK136" s="414"/>
      <c r="AL136" s="414"/>
      <c r="AM136" s="414"/>
      <c r="AN136" s="410"/>
      <c r="AO136" s="411"/>
      <c r="AP136" s="425"/>
      <c r="AQ136" s="425"/>
      <c r="AR136" s="217"/>
      <c r="AS136" s="218" t="str">
        <f t="shared" si="40"/>
        <v/>
      </c>
    </row>
    <row r="137">
      <c r="A137" s="285"/>
      <c r="B137" s="422"/>
      <c r="C137" s="422"/>
      <c r="D137" s="422"/>
      <c r="E137" s="422"/>
      <c r="F137" s="422"/>
      <c r="G137" s="422"/>
      <c r="H137" s="422"/>
      <c r="I137" s="422"/>
      <c r="J137" s="422"/>
      <c r="K137" s="422"/>
      <c r="L137" s="422">
        <f>IF(L136,-2,0)</f>
        <v>0</v>
      </c>
      <c r="M137" s="422"/>
      <c r="N137" s="422"/>
      <c r="O137" s="421"/>
      <c r="P137" s="338"/>
      <c r="Q137" s="421"/>
      <c r="R137" s="421"/>
      <c r="S137" s="421" t="s">
        <v>229</v>
      </c>
      <c r="T137" s="175">
        <f t="shared" si="41"/>
        <v>0</v>
      </c>
      <c r="U137" s="175">
        <f t="shared" si="42"/>
        <v>0</v>
      </c>
      <c r="V137" s="175">
        <f t="shared" si="43"/>
        <v>0</v>
      </c>
      <c r="W137" s="426"/>
      <c r="X137" s="421"/>
      <c r="Y137" s="421"/>
      <c r="Z137" s="421"/>
      <c r="AA137" s="427"/>
      <c r="AB137" s="223">
        <f>IF(ISBLANK('Weapons &amp; Gear'!B29),'Weapons &amp; Gear'!J29,'Weapons &amp; Gear'!J29*'Weapons &amp; Gear'!B29)</f>
        <v>0</v>
      </c>
      <c r="AC137" s="172"/>
      <c r="AD137" s="414"/>
      <c r="AE137" s="414"/>
      <c r="AF137" s="414"/>
      <c r="AG137" s="414"/>
      <c r="AH137" s="414"/>
      <c r="AI137" s="414"/>
      <c r="AJ137" s="414"/>
      <c r="AK137" s="414"/>
      <c r="AL137" s="414"/>
      <c r="AM137" s="414"/>
      <c r="AN137" s="410"/>
      <c r="AO137" s="411"/>
      <c r="AP137" s="425"/>
      <c r="AQ137" s="425"/>
      <c r="AR137" s="217"/>
      <c r="AS137" s="218" t="str">
        <f t="shared" si="40"/>
        <v/>
      </c>
    </row>
    <row r="138">
      <c r="A138" s="285"/>
      <c r="B138" s="422"/>
      <c r="C138" s="422"/>
      <c r="D138" s="422"/>
      <c r="E138" s="422">
        <f>IF(OR(M99="Installed",M100="Installed",M101="Installed",M102="Installed"),-1,0)</f>
        <v>0</v>
      </c>
      <c r="F138" s="422">
        <f>IF(OR(M94="Installed",M95="Installed",M96="Installed",M97="Installed"),-1,0)</f>
        <v>0</v>
      </c>
      <c r="G138" s="422"/>
      <c r="H138" s="422"/>
      <c r="I138" s="422"/>
      <c r="J138" s="422"/>
      <c r="K138" s="422"/>
      <c r="L138" s="422"/>
      <c r="M138" s="173"/>
      <c r="N138" s="173"/>
      <c r="O138" s="173"/>
      <c r="P138" s="424"/>
      <c r="Q138" s="424"/>
      <c r="R138" s="424"/>
      <c r="S138" s="424" t="s">
        <v>179</v>
      </c>
      <c r="T138" s="175">
        <f t="shared" si="41"/>
        <v>0</v>
      </c>
      <c r="U138" s="175">
        <f t="shared" si="42"/>
        <v>0</v>
      </c>
      <c r="V138" s="175">
        <f t="shared" si="43"/>
        <v>0</v>
      </c>
      <c r="W138" s="424"/>
      <c r="X138" s="173"/>
      <c r="Y138" s="173"/>
      <c r="Z138" s="173"/>
      <c r="AA138" s="173"/>
      <c r="AB138" s="223">
        <f>IF(ISBLANK('Weapons &amp; Gear'!B30),'Weapons &amp; Gear'!J30,'Weapons &amp; Gear'!J30*'Weapons &amp; Gear'!B30)</f>
        <v>0</v>
      </c>
      <c r="AC138" s="173"/>
      <c r="AD138" s="173"/>
      <c r="AE138" s="173"/>
      <c r="AF138" s="175"/>
      <c r="AG138" s="175"/>
      <c r="AH138" s="175"/>
      <c r="AI138" s="175"/>
      <c r="AJ138" s="175"/>
      <c r="AK138" s="175"/>
      <c r="AL138" s="175"/>
      <c r="AM138" s="175"/>
      <c r="AN138" s="418"/>
      <c r="AO138" s="418"/>
      <c r="AP138" s="428"/>
      <c r="AQ138" s="361"/>
      <c r="AR138" s="217"/>
      <c r="AS138" s="218"/>
    </row>
    <row r="139">
      <c r="A139" s="285"/>
      <c r="B139" s="422"/>
      <c r="C139" s="423" t="s">
        <v>82</v>
      </c>
      <c r="D139" s="423" t="s">
        <v>634</v>
      </c>
      <c r="E139" s="423" t="s">
        <v>635</v>
      </c>
      <c r="F139" s="423" t="s">
        <v>59</v>
      </c>
      <c r="G139" s="423" t="s">
        <v>56</v>
      </c>
      <c r="H139" s="422"/>
      <c r="I139" s="423"/>
      <c r="J139" s="423"/>
      <c r="K139" s="423"/>
      <c r="L139" s="422"/>
      <c r="M139" s="173"/>
      <c r="N139" s="173"/>
      <c r="O139" s="173"/>
      <c r="P139" s="424"/>
      <c r="Q139" s="424"/>
      <c r="R139" s="424"/>
      <c r="S139" s="424" t="s">
        <v>218</v>
      </c>
      <c r="T139" s="175">
        <f t="shared" si="41"/>
        <v>0</v>
      </c>
      <c r="U139" s="175">
        <f t="shared" si="42"/>
        <v>0</v>
      </c>
      <c r="V139" s="175">
        <f t="shared" si="43"/>
        <v>0</v>
      </c>
      <c r="W139" s="424"/>
      <c r="X139" s="173"/>
      <c r="Y139" s="173"/>
      <c r="Z139" s="173"/>
      <c r="AA139" s="429"/>
      <c r="AB139" s="223">
        <f>IF(ISBLANK('Weapons &amp; Gear'!B31),'Weapons &amp; Gear'!J31,'Weapons &amp; Gear'!J31*'Weapons &amp; Gear'!B31)</f>
        <v>0</v>
      </c>
      <c r="AC139" s="173"/>
      <c r="AD139" s="173"/>
      <c r="AE139" s="175"/>
      <c r="AF139" s="175"/>
      <c r="AG139" s="175"/>
      <c r="AH139" s="175"/>
      <c r="AI139" s="175"/>
      <c r="AJ139" s="175"/>
      <c r="AK139" s="175"/>
      <c r="AL139" s="175"/>
      <c r="AM139" s="175"/>
      <c r="AN139" s="174"/>
      <c r="AO139" s="174"/>
      <c r="AP139" s="174"/>
      <c r="AQ139" s="174"/>
      <c r="AR139" s="217"/>
      <c r="AS139" s="218"/>
    </row>
    <row r="140">
      <c r="A140" s="285"/>
      <c r="B140" s="422"/>
      <c r="C140" s="422">
        <f>IF(C92="Skeletal reinforcement",1,0)</f>
        <v>0</v>
      </c>
      <c r="D140" s="422">
        <f>IF(C92="Memory chip",B92,0)</f>
        <v>0</v>
      </c>
      <c r="E140" s="422">
        <f>IF(C92="Skill implant",B92,0)</f>
        <v>0</v>
      </c>
      <c r="F140" s="422">
        <f>SUM(D152:E152)</f>
        <v>0</v>
      </c>
      <c r="G140" s="422">
        <f>SUM(D136,E136,B136)</f>
        <v>0</v>
      </c>
      <c r="H140" s="422"/>
      <c r="I140" s="422"/>
      <c r="J140" s="422"/>
      <c r="K140" s="422"/>
      <c r="L140" s="430"/>
      <c r="M140" s="422"/>
      <c r="N140" s="422"/>
      <c r="O140" s="173"/>
      <c r="P140" s="424"/>
      <c r="Q140" s="424"/>
      <c r="R140" s="424"/>
      <c r="S140" s="424" t="s">
        <v>200</v>
      </c>
      <c r="T140" s="175">
        <f t="shared" si="41"/>
        <v>0</v>
      </c>
      <c r="U140" s="175">
        <f t="shared" si="42"/>
        <v>0</v>
      </c>
      <c r="V140" s="175">
        <f t="shared" si="43"/>
        <v>0</v>
      </c>
      <c r="W140" s="424"/>
      <c r="X140" s="173"/>
      <c r="Y140" s="173"/>
      <c r="Z140" s="173"/>
      <c r="AA140" s="429"/>
      <c r="AB140" s="223">
        <f>IF(ISBLANK('Weapons &amp; Gear'!B32),'Weapons &amp; Gear'!J32,'Weapons &amp; Gear'!J32*'Weapons &amp; Gear'!B32)</f>
        <v>0</v>
      </c>
      <c r="AC140" s="173"/>
      <c r="AD140" s="173"/>
      <c r="AE140" s="172"/>
      <c r="AF140" s="175"/>
      <c r="AG140" s="172"/>
      <c r="AH140" s="172"/>
      <c r="AI140" s="175"/>
      <c r="AJ140" s="172"/>
      <c r="AK140" s="172"/>
      <c r="AL140" s="172"/>
      <c r="AM140" s="172"/>
      <c r="AN140" s="418"/>
      <c r="AO140" s="418"/>
      <c r="AP140" s="428"/>
      <c r="AQ140" s="431"/>
      <c r="AR140" s="217"/>
      <c r="AS140" s="218"/>
    </row>
    <row r="141">
      <c r="A141" s="285"/>
      <c r="B141" s="422"/>
      <c r="C141" s="422"/>
      <c r="D141" s="422"/>
      <c r="E141" s="422"/>
      <c r="F141" s="423" t="s">
        <v>57</v>
      </c>
      <c r="G141" s="423" t="s">
        <v>11</v>
      </c>
      <c r="H141" s="422"/>
      <c r="I141" s="422"/>
      <c r="J141" s="422"/>
      <c r="K141" s="422"/>
      <c r="L141" s="430"/>
      <c r="M141" s="422"/>
      <c r="N141" s="422"/>
      <c r="O141" s="173"/>
      <c r="P141" s="424"/>
      <c r="Q141" s="424"/>
      <c r="R141" s="424"/>
      <c r="S141" s="424" t="s">
        <v>475</v>
      </c>
      <c r="T141" s="175">
        <f t="shared" si="41"/>
        <v>0</v>
      </c>
      <c r="U141" s="175">
        <f t="shared" si="42"/>
        <v>0</v>
      </c>
      <c r="V141" s="175">
        <f t="shared" si="43"/>
        <v>0</v>
      </c>
      <c r="W141" s="424"/>
      <c r="X141" s="173"/>
      <c r="Y141" s="173"/>
      <c r="Z141" s="173"/>
      <c r="AA141" s="429"/>
      <c r="AB141" s="223">
        <f>IF(ISBLANK('Weapons &amp; Gear'!B33),'Weapons &amp; Gear'!J33,'Weapons &amp; Gear'!J33*'Weapons &amp; Gear'!B33)</f>
        <v>0</v>
      </c>
      <c r="AC141" s="173"/>
      <c r="AD141" s="173"/>
      <c r="AE141" s="175"/>
      <c r="AF141" s="175"/>
      <c r="AG141" s="172"/>
      <c r="AH141" s="172"/>
      <c r="AI141" s="172"/>
      <c r="AJ141" s="172"/>
      <c r="AK141" s="172"/>
      <c r="AL141" s="172"/>
      <c r="AM141" s="172"/>
      <c r="AN141" s="428"/>
      <c r="AO141" s="418"/>
      <c r="AP141" s="428"/>
      <c r="AQ141" s="431"/>
      <c r="AR141" s="217"/>
      <c r="AS141" s="218"/>
    </row>
    <row r="142">
      <c r="A142" s="285"/>
      <c r="B142" s="422"/>
      <c r="C142" s="422">
        <f>IF(C94="Skeletal reinforcement",1,0)</f>
        <v>0</v>
      </c>
      <c r="D142" s="422">
        <f>IF(C94="Memory chip",B94,0)</f>
        <v>0</v>
      </c>
      <c r="E142" s="422">
        <f>IF(C94="Skill implant",B94,0)</f>
        <v>0</v>
      </c>
      <c r="F142" s="422">
        <f>SUM(C136,F136)</f>
        <v>0</v>
      </c>
      <c r="G142" s="423">
        <f>SUM(H136:I136)</f>
        <v>0</v>
      </c>
      <c r="H142" s="422">
        <f>IF(AND(M3="Alcoholic",OR(D70="Tipsy",E70="Lubricated",F70="Drunk",G70="Inebriated")),2,0)</f>
        <v>0</v>
      </c>
      <c r="I142" s="422"/>
      <c r="J142" s="422"/>
      <c r="K142" s="422"/>
      <c r="L142" s="430"/>
      <c r="M142" s="422"/>
      <c r="N142" s="422"/>
      <c r="O142" s="173"/>
      <c r="P142" s="424"/>
      <c r="Q142" s="424"/>
      <c r="R142" s="424"/>
      <c r="S142" s="424" t="s">
        <v>507</v>
      </c>
      <c r="T142" s="175">
        <f t="shared" si="41"/>
        <v>0</v>
      </c>
      <c r="U142" s="175">
        <f t="shared" si="42"/>
        <v>0</v>
      </c>
      <c r="V142" s="175">
        <f t="shared" si="43"/>
        <v>0</v>
      </c>
      <c r="W142" s="424"/>
      <c r="X142" s="173"/>
      <c r="Y142" s="173"/>
      <c r="Z142" s="173"/>
      <c r="AA142" s="429"/>
      <c r="AB142" s="223">
        <f>IF(ISBLANK('Weapons &amp; Gear'!B34),'Weapons &amp; Gear'!J34,'Weapons &amp; Gear'!J34*'Weapons &amp; Gear'!B34)</f>
        <v>0</v>
      </c>
      <c r="AC142" s="173"/>
      <c r="AD142" s="173"/>
      <c r="AE142" s="175"/>
      <c r="AF142" s="172"/>
      <c r="AG142" s="172"/>
      <c r="AH142" s="172"/>
      <c r="AI142" s="172"/>
      <c r="AJ142" s="172"/>
      <c r="AK142" s="172"/>
      <c r="AL142" s="172"/>
      <c r="AM142" s="172"/>
      <c r="AN142" s="428"/>
      <c r="AO142" s="418"/>
      <c r="AP142" s="428"/>
      <c r="AQ142" s="431"/>
      <c r="AR142" s="217"/>
      <c r="AS142" s="218"/>
    </row>
    <row r="143">
      <c r="A143" s="285"/>
      <c r="B143" s="422"/>
      <c r="C143" s="422"/>
      <c r="D143" s="422"/>
      <c r="E143" s="422"/>
      <c r="F143" s="423"/>
      <c r="G143" s="423"/>
      <c r="H143" s="422"/>
      <c r="I143" s="422"/>
      <c r="J143" s="422"/>
      <c r="K143" s="422"/>
      <c r="L143" s="430"/>
      <c r="M143" s="422"/>
      <c r="N143" s="422"/>
      <c r="O143" s="173"/>
      <c r="P143" s="424"/>
      <c r="Q143" s="424"/>
      <c r="R143" s="424"/>
      <c r="S143" s="424" t="s">
        <v>510</v>
      </c>
      <c r="T143" s="175">
        <f t="shared" si="41"/>
        <v>0</v>
      </c>
      <c r="U143" s="175">
        <f t="shared" si="42"/>
        <v>0</v>
      </c>
      <c r="V143" s="175">
        <f t="shared" si="43"/>
        <v>0</v>
      </c>
      <c r="W143" s="424"/>
      <c r="X143" s="173"/>
      <c r="Y143" s="173"/>
      <c r="Z143" s="173"/>
      <c r="AA143" s="429"/>
      <c r="AB143" s="223">
        <f>IF(ISBLANK('Weapons &amp; Gear'!B35),'Weapons &amp; Gear'!J35,'Weapons &amp; Gear'!J35*'Weapons &amp; Gear'!B35)</f>
        <v>0</v>
      </c>
      <c r="AC143" s="173"/>
      <c r="AD143" s="173"/>
      <c r="AE143" s="172"/>
      <c r="AF143" s="175"/>
      <c r="AG143" s="172"/>
      <c r="AH143" s="172"/>
      <c r="AI143" s="172"/>
      <c r="AJ143" s="175"/>
      <c r="AK143" s="172"/>
      <c r="AL143" s="172"/>
      <c r="AM143" s="172"/>
      <c r="AN143" s="418"/>
      <c r="AO143" s="418"/>
      <c r="AP143" s="428"/>
      <c r="AQ143" s="431"/>
      <c r="AR143" s="217"/>
      <c r="AS143" s="218"/>
    </row>
    <row r="144">
      <c r="A144" s="285"/>
      <c r="B144" s="422"/>
      <c r="C144" s="422">
        <f>IF(C96="Skeletal reinforcement",1,0)</f>
        <v>0</v>
      </c>
      <c r="D144" s="422">
        <f>IF(C96="Memory chip",B96,0)</f>
        <v>0</v>
      </c>
      <c r="E144" s="422">
        <f>IF(C96="Skill implant",B96,0)</f>
        <v>0</v>
      </c>
      <c r="F144" s="422"/>
      <c r="G144" s="422"/>
      <c r="H144" s="422"/>
      <c r="I144" s="422"/>
      <c r="J144" s="422"/>
      <c r="K144" s="422"/>
      <c r="L144" s="430"/>
      <c r="M144" s="422"/>
      <c r="N144" s="422"/>
      <c r="O144" s="173"/>
      <c r="P144" s="424"/>
      <c r="Q144" s="424"/>
      <c r="R144" s="424"/>
      <c r="S144" s="424" t="s">
        <v>513</v>
      </c>
      <c r="T144" s="175">
        <f t="shared" si="41"/>
        <v>0</v>
      </c>
      <c r="U144" s="175">
        <f t="shared" si="42"/>
        <v>0</v>
      </c>
      <c r="V144" s="175">
        <f t="shared" si="43"/>
        <v>0</v>
      </c>
      <c r="W144" s="424"/>
      <c r="X144" s="173"/>
      <c r="Y144" s="173"/>
      <c r="Z144" s="173"/>
      <c r="AA144" s="429"/>
      <c r="AB144" s="223">
        <f>IF(ISBLANK('Weapons &amp; Gear'!B36),'Weapons &amp; Gear'!J36,'Weapons &amp; Gear'!J36*'Weapons &amp; Gear'!B36)</f>
        <v>0</v>
      </c>
      <c r="AC144" s="173"/>
      <c r="AD144" s="173"/>
      <c r="AE144" s="172"/>
      <c r="AF144" s="175"/>
      <c r="AG144" s="172"/>
      <c r="AH144" s="172"/>
      <c r="AI144" s="172"/>
      <c r="AJ144" s="175"/>
      <c r="AK144" s="172"/>
      <c r="AL144" s="172"/>
      <c r="AM144" s="172"/>
      <c r="AN144" s="418"/>
      <c r="AO144" s="418"/>
      <c r="AP144" s="428"/>
      <c r="AQ144" s="431"/>
      <c r="AR144" s="217"/>
      <c r="AS144" s="218"/>
    </row>
    <row r="145">
      <c r="A145" s="285"/>
      <c r="B145" s="422"/>
      <c r="C145" s="422"/>
      <c r="D145" s="422"/>
      <c r="E145" s="422"/>
      <c r="F145" s="422"/>
      <c r="G145" s="422"/>
      <c r="H145" s="422"/>
      <c r="I145" s="422"/>
      <c r="J145" s="422"/>
      <c r="K145" s="422"/>
      <c r="L145" s="423"/>
      <c r="M145" s="422"/>
      <c r="N145" s="422"/>
      <c r="O145" s="173"/>
      <c r="P145" s="424"/>
      <c r="Q145" s="424"/>
      <c r="R145" s="424"/>
      <c r="S145" s="424" t="s">
        <v>257</v>
      </c>
      <c r="T145" s="175">
        <f t="shared" si="41"/>
        <v>0</v>
      </c>
      <c r="U145" s="175">
        <f t="shared" si="42"/>
        <v>0</v>
      </c>
      <c r="V145" s="175">
        <f t="shared" si="43"/>
        <v>0</v>
      </c>
      <c r="W145" s="424"/>
      <c r="X145" s="173"/>
      <c r="Y145" s="173"/>
      <c r="Z145" s="173"/>
      <c r="AA145" s="429"/>
      <c r="AB145" s="223">
        <f>IF(ISBLANK('Weapons &amp; Gear'!B37),'Weapons &amp; Gear'!J37,'Weapons &amp; Gear'!J37*'Weapons &amp; Gear'!B37)</f>
        <v>0</v>
      </c>
      <c r="AC145" s="173"/>
      <c r="AD145" s="173"/>
      <c r="AE145" s="175"/>
      <c r="AF145" s="175"/>
      <c r="AG145" s="172"/>
      <c r="AH145" s="172"/>
      <c r="AI145" s="172"/>
      <c r="AJ145" s="172"/>
      <c r="AK145" s="172"/>
      <c r="AL145" s="172"/>
      <c r="AM145" s="172"/>
      <c r="AN145" s="418"/>
      <c r="AO145" s="418"/>
      <c r="AP145" s="428"/>
      <c r="AQ145" s="431"/>
      <c r="AR145" s="217"/>
      <c r="AS145" s="218"/>
    </row>
    <row r="146">
      <c r="A146" s="285"/>
      <c r="B146" s="422"/>
      <c r="C146" s="422">
        <f>IF(C98="Skeletal reinforcement",1,0)</f>
        <v>0</v>
      </c>
      <c r="D146" s="422">
        <f>IF(C98="Memory chip",B98,0)</f>
        <v>0</v>
      </c>
      <c r="E146" s="422">
        <f>IF(C98="Skill implant",B98,0)</f>
        <v>0</v>
      </c>
      <c r="F146" s="422"/>
      <c r="G146" s="422"/>
      <c r="H146" s="422"/>
      <c r="I146" s="422"/>
      <c r="J146" s="422"/>
      <c r="K146" s="422"/>
      <c r="L146" s="430"/>
      <c r="M146" s="422"/>
      <c r="N146" s="422"/>
      <c r="O146" s="173"/>
      <c r="P146" s="424"/>
      <c r="Q146" s="424"/>
      <c r="R146" s="424"/>
      <c r="S146" s="424" t="s">
        <v>258</v>
      </c>
      <c r="T146" s="175">
        <f t="shared" si="41"/>
        <v>0</v>
      </c>
      <c r="U146" s="175">
        <f t="shared" si="42"/>
        <v>0</v>
      </c>
      <c r="V146" s="175">
        <f t="shared" si="43"/>
        <v>0</v>
      </c>
      <c r="W146" s="424"/>
      <c r="X146" s="173"/>
      <c r="Y146" s="173"/>
      <c r="Z146" s="173"/>
      <c r="AA146" s="429"/>
      <c r="AB146" s="223">
        <f>IF(ISBLANK('Weapons &amp; Gear'!B38),'Weapons &amp; Gear'!J38,'Weapons &amp; Gear'!J38*'Weapons &amp; Gear'!B38)</f>
        <v>0</v>
      </c>
      <c r="AC146" s="173"/>
      <c r="AD146" s="173"/>
      <c r="AE146" s="175"/>
      <c r="AF146" s="175"/>
      <c r="AG146" s="172"/>
      <c r="AH146" s="172"/>
      <c r="AI146" s="172"/>
      <c r="AJ146" s="172"/>
      <c r="AK146" s="172"/>
      <c r="AL146" s="172"/>
      <c r="AM146" s="172"/>
      <c r="AN146" s="418"/>
      <c r="AO146" s="418"/>
      <c r="AP146" s="428"/>
      <c r="AQ146" s="431"/>
      <c r="AR146" s="217"/>
      <c r="AS146" s="218"/>
    </row>
    <row r="147">
      <c r="A147" s="285"/>
      <c r="B147" s="422"/>
      <c r="C147" s="422"/>
      <c r="D147" s="422"/>
      <c r="E147" s="422"/>
      <c r="F147" s="422"/>
      <c r="G147" s="422"/>
      <c r="H147" s="422"/>
      <c r="I147" s="422"/>
      <c r="J147" s="422"/>
      <c r="K147" s="422"/>
      <c r="L147" s="430"/>
      <c r="M147" s="422"/>
      <c r="N147" s="422"/>
      <c r="O147" s="173"/>
      <c r="P147" s="424"/>
      <c r="Q147" s="424"/>
      <c r="R147" s="424"/>
      <c r="S147" s="424" t="s">
        <v>517</v>
      </c>
      <c r="T147" s="175">
        <f t="shared" si="41"/>
        <v>0</v>
      </c>
      <c r="U147" s="175">
        <f t="shared" si="42"/>
        <v>0</v>
      </c>
      <c r="V147" s="175">
        <f t="shared" si="43"/>
        <v>0</v>
      </c>
      <c r="W147" s="424"/>
      <c r="X147" s="173"/>
      <c r="Y147" s="173"/>
      <c r="Z147" s="173"/>
      <c r="AA147" s="429"/>
      <c r="AB147" s="223">
        <f>IF(ISBLANK('Weapons &amp; Gear'!B39),'Weapons &amp; Gear'!J39,'Weapons &amp; Gear'!J39*'Weapons &amp; Gear'!B39)</f>
        <v>0</v>
      </c>
      <c r="AC147" s="173"/>
      <c r="AD147" s="173"/>
      <c r="AE147" s="175"/>
      <c r="AF147" s="172"/>
      <c r="AG147" s="172"/>
      <c r="AH147" s="175"/>
      <c r="AI147" s="172"/>
      <c r="AJ147" s="172"/>
      <c r="AK147" s="172"/>
      <c r="AL147" s="172"/>
      <c r="AM147" s="172"/>
      <c r="AN147" s="418"/>
      <c r="AO147" s="418"/>
      <c r="AP147" s="428"/>
      <c r="AQ147" s="431"/>
      <c r="AR147" s="217"/>
      <c r="AS147" s="218"/>
    </row>
    <row r="148">
      <c r="A148" s="285"/>
      <c r="B148" s="422"/>
      <c r="C148" s="422">
        <f>IF(C100="Skeletal reinforcement",1,0)</f>
        <v>0</v>
      </c>
      <c r="D148" s="422">
        <f>IF(C100="Memory chip",B100,0)</f>
        <v>0</v>
      </c>
      <c r="E148" s="422">
        <f>IF(C100="Skill implant",B100,0)</f>
        <v>0</v>
      </c>
      <c r="F148" s="422"/>
      <c r="G148" s="422"/>
      <c r="H148" s="422"/>
      <c r="I148" s="422"/>
      <c r="J148" s="422"/>
      <c r="K148" s="422"/>
      <c r="L148" s="430"/>
      <c r="M148" s="422"/>
      <c r="N148" s="422"/>
      <c r="O148" s="173"/>
      <c r="P148" s="424"/>
      <c r="Q148" s="424"/>
      <c r="R148" s="424"/>
      <c r="S148" s="424"/>
      <c r="T148" s="175">
        <f t="shared" si="41"/>
        <v>0</v>
      </c>
      <c r="U148" s="175">
        <f t="shared" si="42"/>
        <v>0</v>
      </c>
      <c r="V148" s="175">
        <f t="shared" si="43"/>
        <v>0</v>
      </c>
      <c r="W148" s="424"/>
      <c r="X148" s="173"/>
      <c r="Y148" s="173"/>
      <c r="Z148" s="173"/>
      <c r="AA148" s="432" t="s">
        <v>636</v>
      </c>
      <c r="AB148" s="223">
        <f>IF(ISBLANK('Weapons &amp; Gear'!B40),'Weapons &amp; Gear'!J40,'Weapons &amp; Gear'!J40*'Weapons &amp; Gear'!B40)</f>
        <v>0</v>
      </c>
      <c r="AC148" s="173"/>
      <c r="AD148" s="173"/>
      <c r="AE148" s="175"/>
      <c r="AF148" s="172"/>
      <c r="AG148" s="172"/>
      <c r="AH148" s="172"/>
      <c r="AI148" s="172"/>
      <c r="AJ148" s="172"/>
      <c r="AK148" s="172"/>
      <c r="AL148" s="172"/>
      <c r="AM148" s="172"/>
      <c r="AN148" s="418"/>
      <c r="AO148" s="418"/>
      <c r="AP148" s="428"/>
      <c r="AQ148" s="431"/>
      <c r="AR148" s="217"/>
      <c r="AS148" s="218"/>
    </row>
    <row r="149">
      <c r="A149" s="285"/>
      <c r="B149" s="422"/>
      <c r="C149" s="422"/>
      <c r="D149" s="422"/>
      <c r="E149" s="422"/>
      <c r="F149" s="422"/>
      <c r="G149" s="422"/>
      <c r="H149" s="422"/>
      <c r="I149" s="422"/>
      <c r="J149" s="422"/>
      <c r="K149" s="422"/>
      <c r="L149" s="430"/>
      <c r="M149" s="422"/>
      <c r="N149" s="422"/>
      <c r="O149" s="173"/>
      <c r="P149" s="424"/>
      <c r="Q149" s="424"/>
      <c r="R149" s="424"/>
      <c r="S149" s="424"/>
      <c r="T149" s="175">
        <f t="shared" si="41"/>
        <v>0</v>
      </c>
      <c r="U149" s="175">
        <f t="shared" si="42"/>
        <v>0</v>
      </c>
      <c r="V149" s="175">
        <f t="shared" si="43"/>
        <v>0</v>
      </c>
      <c r="W149" s="424"/>
      <c r="X149" s="173"/>
      <c r="Y149" s="173"/>
      <c r="Z149" s="173"/>
      <c r="AA149" s="432" t="s">
        <v>637</v>
      </c>
      <c r="AB149" s="223">
        <f>IF(ISBLANK('Weapons &amp; Gear'!O3),'Weapons &amp; Gear'!T3,'Weapons &amp; Gear'!T3*'Weapons &amp; Gear'!O3)</f>
        <v>0</v>
      </c>
      <c r="AC149" s="173"/>
      <c r="AD149" s="173"/>
      <c r="AE149" s="175"/>
      <c r="AF149" s="175"/>
      <c r="AG149" s="172"/>
      <c r="AH149" s="172"/>
      <c r="AI149" s="175"/>
      <c r="AJ149" s="175"/>
      <c r="AK149" s="172"/>
      <c r="AL149" s="172"/>
      <c r="AM149" s="172"/>
      <c r="AN149" s="418"/>
      <c r="AO149" s="418"/>
      <c r="AP149" s="428"/>
      <c r="AQ149" s="431"/>
      <c r="AR149" s="217"/>
      <c r="AS149" s="218"/>
    </row>
    <row r="150">
      <c r="A150" s="285"/>
      <c r="B150" s="422"/>
      <c r="C150" s="422">
        <f>IF(C102="Skeletal reinforcement",1,0)</f>
        <v>0</v>
      </c>
      <c r="D150" s="422">
        <f>IF(C102="Memory chip",B102,0)</f>
        <v>0</v>
      </c>
      <c r="E150" s="422">
        <f>IF(C102="Skill implant",B102,0)</f>
        <v>0</v>
      </c>
      <c r="F150" s="422"/>
      <c r="G150" s="422"/>
      <c r="H150" s="422"/>
      <c r="I150" s="422"/>
      <c r="J150" s="422"/>
      <c r="K150" s="422"/>
      <c r="L150" s="430"/>
      <c r="M150" s="422"/>
      <c r="N150" s="422"/>
      <c r="O150" s="173"/>
      <c r="P150" s="424"/>
      <c r="Q150" s="424"/>
      <c r="R150" s="424"/>
      <c r="S150" s="424"/>
      <c r="T150" s="175">
        <f t="shared" si="41"/>
        <v>0</v>
      </c>
      <c r="U150" s="175">
        <f t="shared" si="42"/>
        <v>0</v>
      </c>
      <c r="V150" s="175">
        <f t="shared" si="43"/>
        <v>0</v>
      </c>
      <c r="W150" s="424"/>
      <c r="X150" s="173"/>
      <c r="Y150" s="173"/>
      <c r="Z150" s="173"/>
      <c r="AA150" s="429"/>
      <c r="AB150" s="223">
        <f>IF(ISBLANK('Weapons &amp; Gear'!O4),'Weapons &amp; Gear'!T4,'Weapons &amp; Gear'!T4*'Weapons &amp; Gear'!O4)</f>
        <v>0</v>
      </c>
      <c r="AC150" s="173"/>
      <c r="AD150" s="173"/>
      <c r="AE150" s="175"/>
      <c r="AF150" s="172"/>
      <c r="AG150" s="175"/>
      <c r="AH150" s="175"/>
      <c r="AI150" s="175"/>
      <c r="AJ150" s="175"/>
      <c r="AK150" s="172"/>
      <c r="AL150" s="172"/>
      <c r="AM150" s="172"/>
      <c r="AN150" s="418"/>
      <c r="AO150" s="418"/>
      <c r="AP150" s="428"/>
      <c r="AQ150" s="431"/>
      <c r="AR150" s="217"/>
      <c r="AS150" s="218"/>
    </row>
    <row r="151">
      <c r="A151" s="285"/>
      <c r="B151" s="422"/>
      <c r="C151" s="422">
        <f t="shared" ref="C151:E151" si="46">SUM(C140:C150)</f>
        <v>0</v>
      </c>
      <c r="D151" s="422">
        <f t="shared" si="46"/>
        <v>0</v>
      </c>
      <c r="E151" s="422">
        <f t="shared" si="46"/>
        <v>0</v>
      </c>
      <c r="F151" s="422"/>
      <c r="G151" s="422"/>
      <c r="H151" s="422"/>
      <c r="I151" s="422"/>
      <c r="J151" s="422"/>
      <c r="K151" s="422"/>
      <c r="L151" s="430"/>
      <c r="M151" s="422"/>
      <c r="N151" s="422"/>
      <c r="O151" s="173"/>
      <c r="P151" s="424"/>
      <c r="Q151" s="424"/>
      <c r="R151" s="424"/>
      <c r="S151" s="424"/>
      <c r="T151" s="175">
        <f t="shared" si="41"/>
        <v>0</v>
      </c>
      <c r="U151" s="175">
        <f t="shared" si="42"/>
        <v>0</v>
      </c>
      <c r="V151" s="175">
        <f t="shared" si="43"/>
        <v>0</v>
      </c>
      <c r="W151" s="424"/>
      <c r="X151" s="173"/>
      <c r="Y151" s="173"/>
      <c r="Z151" s="173"/>
      <c r="AA151" s="429"/>
      <c r="AB151" s="223">
        <f>IF(ISBLANK('Weapons &amp; Gear'!O5),'Weapons &amp; Gear'!T5,'Weapons &amp; Gear'!T5*'Weapons &amp; Gear'!O5)</f>
        <v>0</v>
      </c>
      <c r="AC151" s="173"/>
      <c r="AD151" s="173"/>
      <c r="AE151" s="175"/>
      <c r="AF151" s="175"/>
      <c r="AG151" s="172"/>
      <c r="AH151" s="172"/>
      <c r="AI151" s="172"/>
      <c r="AJ151" s="172"/>
      <c r="AK151" s="172"/>
      <c r="AL151" s="172"/>
      <c r="AM151" s="172"/>
      <c r="AN151" s="418"/>
      <c r="AO151" s="418"/>
      <c r="AP151" s="428"/>
      <c r="AQ151" s="431"/>
      <c r="AR151" s="217"/>
      <c r="AS151" s="218"/>
    </row>
    <row r="152">
      <c r="A152" s="285"/>
      <c r="B152" s="422"/>
      <c r="C152" s="422"/>
      <c r="D152" s="422">
        <f>VLOOKUP(D151,AK180:AL195,2)</f>
        <v>0</v>
      </c>
      <c r="E152" s="422">
        <f>VLOOKUP(E151,AK180:AL195,2)</f>
        <v>0</v>
      </c>
      <c r="F152" s="422"/>
      <c r="G152" s="422"/>
      <c r="H152" s="422"/>
      <c r="I152" s="422"/>
      <c r="J152" s="422"/>
      <c r="K152" s="422"/>
      <c r="L152" s="430"/>
      <c r="M152" s="422"/>
      <c r="N152" s="422"/>
      <c r="O152" s="173"/>
      <c r="P152" s="424"/>
      <c r="Q152" s="424"/>
      <c r="R152" s="424"/>
      <c r="S152" s="424"/>
      <c r="T152" s="175">
        <f t="shared" si="41"/>
        <v>0</v>
      </c>
      <c r="U152" s="175">
        <f t="shared" si="42"/>
        <v>0</v>
      </c>
      <c r="V152" s="175">
        <f t="shared" si="43"/>
        <v>0</v>
      </c>
      <c r="W152" s="424"/>
      <c r="X152" s="173"/>
      <c r="Y152" s="173"/>
      <c r="Z152" s="173"/>
      <c r="AA152" s="429"/>
      <c r="AB152" s="223">
        <f>IF(ISBLANK('Weapons &amp; Gear'!O6),'Weapons &amp; Gear'!T6,'Weapons &amp; Gear'!T6*'Weapons &amp; Gear'!O6)</f>
        <v>0</v>
      </c>
      <c r="AC152" s="173"/>
      <c r="AD152" s="173"/>
      <c r="AE152" s="175"/>
      <c r="AF152" s="172"/>
      <c r="AG152" s="175"/>
      <c r="AH152" s="175"/>
      <c r="AI152" s="172"/>
      <c r="AJ152" s="175"/>
      <c r="AK152" s="172"/>
      <c r="AL152" s="172"/>
      <c r="AM152" s="172"/>
      <c r="AN152" s="418"/>
      <c r="AO152" s="418"/>
      <c r="AP152" s="428"/>
      <c r="AQ152" s="431"/>
      <c r="AR152" s="217"/>
      <c r="AS152" s="218"/>
    </row>
    <row r="153">
      <c r="A153" s="285"/>
      <c r="B153" s="422"/>
      <c r="C153" s="422"/>
      <c r="D153" s="422"/>
      <c r="E153" s="422"/>
      <c r="F153" s="422"/>
      <c r="G153" s="422"/>
      <c r="H153" s="422"/>
      <c r="I153" s="422"/>
      <c r="J153" s="422"/>
      <c r="K153" s="422"/>
      <c r="L153" s="422"/>
      <c r="M153" s="422"/>
      <c r="N153" s="422"/>
      <c r="O153" s="172"/>
      <c r="P153" s="172"/>
      <c r="Q153" s="172"/>
      <c r="R153" s="172"/>
      <c r="S153" s="172"/>
      <c r="T153" s="175">
        <f t="shared" si="41"/>
        <v>0</v>
      </c>
      <c r="U153" s="175">
        <f t="shared" si="42"/>
        <v>0</v>
      </c>
      <c r="V153" s="175">
        <f t="shared" si="43"/>
        <v>0</v>
      </c>
      <c r="W153" s="424"/>
      <c r="X153" s="173"/>
      <c r="Y153" s="173"/>
      <c r="Z153" s="173"/>
      <c r="AA153" s="429"/>
      <c r="AB153" s="223">
        <f>IF(ISBLANK('Weapons &amp; Gear'!O7),'Weapons &amp; Gear'!T7,'Weapons &amp; Gear'!T7*'Weapons &amp; Gear'!O7)</f>
        <v>0</v>
      </c>
      <c r="AC153" s="173"/>
      <c r="AD153" s="173"/>
      <c r="AE153" s="175"/>
      <c r="AF153" s="172"/>
      <c r="AG153" s="175"/>
      <c r="AH153" s="172"/>
      <c r="AI153" s="172"/>
      <c r="AJ153" s="172"/>
      <c r="AK153" s="175"/>
      <c r="AL153" s="172"/>
      <c r="AM153" s="175"/>
      <c r="AN153" s="418"/>
      <c r="AO153" s="428"/>
      <c r="AP153" s="428"/>
      <c r="AQ153" s="431"/>
      <c r="AR153" s="217"/>
      <c r="AS153" s="218"/>
    </row>
    <row r="154">
      <c r="A154" s="285"/>
      <c r="B154" s="422"/>
      <c r="C154" s="423" t="s">
        <v>11</v>
      </c>
      <c r="D154" s="423" t="s">
        <v>13</v>
      </c>
      <c r="E154" s="423" t="s">
        <v>15</v>
      </c>
      <c r="F154" s="423" t="s">
        <v>18</v>
      </c>
      <c r="G154" s="175" t="s">
        <v>21</v>
      </c>
      <c r="H154" s="422"/>
      <c r="I154" s="422"/>
      <c r="J154" s="422"/>
      <c r="K154" s="422"/>
      <c r="L154" s="423" t="s">
        <v>22</v>
      </c>
      <c r="M154" s="422"/>
      <c r="N154" s="422"/>
      <c r="O154" s="172"/>
      <c r="P154" s="172"/>
      <c r="Q154" s="172"/>
      <c r="R154" s="172"/>
      <c r="S154" s="172"/>
      <c r="T154" s="175">
        <f t="shared" si="41"/>
        <v>0</v>
      </c>
      <c r="U154" s="175">
        <f t="shared" si="42"/>
        <v>0</v>
      </c>
      <c r="V154" s="175">
        <f t="shared" si="43"/>
        <v>0</v>
      </c>
      <c r="W154" s="424"/>
      <c r="X154" s="173"/>
      <c r="Y154" s="173"/>
      <c r="Z154" s="173"/>
      <c r="AA154" s="429"/>
      <c r="AB154" s="223">
        <f>IF(ISBLANK('Weapons &amp; Gear'!O8),'Weapons &amp; Gear'!T8,'Weapons &amp; Gear'!T8*'Weapons &amp; Gear'!O8)</f>
        <v>0</v>
      </c>
      <c r="AC154" s="173"/>
      <c r="AD154" s="173"/>
      <c r="AE154" s="175"/>
      <c r="AF154" s="175"/>
      <c r="AG154" s="172"/>
      <c r="AH154" s="172"/>
      <c r="AI154" s="175"/>
      <c r="AJ154" s="172"/>
      <c r="AK154" s="172"/>
      <c r="AL154" s="172"/>
      <c r="AM154" s="172"/>
      <c r="AN154" s="418"/>
      <c r="AO154" s="428"/>
      <c r="AP154" s="428"/>
      <c r="AQ154" s="431"/>
      <c r="AR154" s="217"/>
      <c r="AS154" s="218"/>
    </row>
    <row r="155">
      <c r="A155" s="285"/>
      <c r="B155" s="422"/>
      <c r="C155" s="422">
        <f>IF(I302="Nothing",0,VLOOKUP(I302,C157:Q176,5,FALSE))</f>
        <v>0</v>
      </c>
      <c r="D155" s="422">
        <f>IF(I302="Nothing",0,VLOOKUP(I302,C157:Q176,6,FALSE))</f>
        <v>0</v>
      </c>
      <c r="E155" s="422">
        <f>IF(I302="Nothing",0,VLOOKUP(I302,C157:Q176,8,FALSE))</f>
        <v>0</v>
      </c>
      <c r="F155" s="172">
        <f>IF(I302="Nothing",0,VLOOKUP(I302,C157:Q176,10,FALSE))</f>
        <v>0</v>
      </c>
      <c r="G155" s="172">
        <f>IF(I302="Nothing",0,VLOOKUP(I302,C157:Q176,14,FALSE))</f>
        <v>0</v>
      </c>
      <c r="H155" s="422"/>
      <c r="I155" s="422"/>
      <c r="J155" s="422"/>
      <c r="K155" s="422"/>
      <c r="L155" s="422">
        <f>IF(I302="Nothing",0,VLOOKUP(I302,C157:Q176,15,FALSE))</f>
        <v>0</v>
      </c>
      <c r="M155" s="422"/>
      <c r="N155" s="422"/>
      <c r="O155" s="172"/>
      <c r="P155" s="172"/>
      <c r="Q155" s="172"/>
      <c r="R155" s="172"/>
      <c r="S155" s="172"/>
      <c r="T155" s="175">
        <f t="shared" si="41"/>
        <v>0</v>
      </c>
      <c r="U155" s="175">
        <f t="shared" si="42"/>
        <v>0</v>
      </c>
      <c r="V155" s="175">
        <f t="shared" si="43"/>
        <v>0</v>
      </c>
      <c r="W155" s="424"/>
      <c r="X155" s="173"/>
      <c r="Y155" s="173"/>
      <c r="Z155" s="173"/>
      <c r="AA155" s="429"/>
      <c r="AB155" s="223">
        <f>IF(ISBLANK('Weapons &amp; Gear'!O9),'Weapons &amp; Gear'!T9,'Weapons &amp; Gear'!T9*'Weapons &amp; Gear'!O9)</f>
        <v>0</v>
      </c>
      <c r="AC155" s="173"/>
      <c r="AD155" s="173"/>
      <c r="AE155" s="175"/>
      <c r="AF155" s="172"/>
      <c r="AG155" s="172"/>
      <c r="AH155" s="172"/>
      <c r="AI155" s="172"/>
      <c r="AJ155" s="172"/>
      <c r="AK155" s="172"/>
      <c r="AL155" s="172"/>
      <c r="AM155" s="172"/>
      <c r="AN155" s="418"/>
      <c r="AO155" s="428"/>
      <c r="AP155" s="428"/>
      <c r="AQ155" s="431"/>
      <c r="AR155" s="217"/>
      <c r="AS155" s="218"/>
    </row>
    <row r="156">
      <c r="A156" s="285"/>
      <c r="B156" s="172"/>
      <c r="C156" s="423" t="s">
        <v>11</v>
      </c>
      <c r="D156" s="172">
        <f>IF(I302="Nothing",0,VLOOKUP(I302,C157:Q176,7,FALSE))</f>
        <v>0</v>
      </c>
      <c r="E156" s="172">
        <f>IF(I302="Nothing",0,VLOOKUP(I302,C157:Q176,9,FALSE))</f>
        <v>0</v>
      </c>
      <c r="F156" s="172">
        <f>IF(I302="Nothing",0,VLOOKUP(I302,C157:Q176,11,FALSE))</f>
        <v>0</v>
      </c>
      <c r="G156" s="172"/>
      <c r="H156" s="172"/>
      <c r="I156" s="172"/>
      <c r="J156" s="172"/>
      <c r="K156" s="172"/>
      <c r="L156" s="172"/>
      <c r="M156" s="172"/>
      <c r="N156" s="172"/>
      <c r="O156" s="172"/>
      <c r="P156" s="172"/>
      <c r="Q156" s="172"/>
      <c r="R156" s="433" t="s">
        <v>638</v>
      </c>
      <c r="S156" s="172"/>
      <c r="T156" s="175">
        <f t="shared" si="41"/>
        <v>0</v>
      </c>
      <c r="U156" s="175">
        <f t="shared" si="42"/>
        <v>0</v>
      </c>
      <c r="V156" s="175">
        <f t="shared" si="43"/>
        <v>0</v>
      </c>
      <c r="W156" s="424"/>
      <c r="X156" s="173"/>
      <c r="Y156" s="173"/>
      <c r="Z156" s="173"/>
      <c r="AA156" s="429"/>
      <c r="AB156" s="223">
        <f>IF(ISBLANK('Weapons &amp; Gear'!O10),'Weapons &amp; Gear'!T10,'Weapons &amp; Gear'!T10*'Weapons &amp; Gear'!O10)</f>
        <v>0</v>
      </c>
      <c r="AC156" s="173"/>
      <c r="AD156" s="173"/>
      <c r="AE156" s="175"/>
      <c r="AF156" s="172"/>
      <c r="AG156" s="172"/>
      <c r="AH156" s="172"/>
      <c r="AI156" s="172"/>
      <c r="AJ156" s="172"/>
      <c r="AK156" s="172"/>
      <c r="AL156" s="172"/>
      <c r="AM156" s="172"/>
      <c r="AN156" s="418"/>
      <c r="AO156" s="428"/>
      <c r="AP156" s="428"/>
      <c r="AQ156" s="431"/>
      <c r="AR156" s="217"/>
      <c r="AS156" s="218"/>
    </row>
    <row r="157">
      <c r="A157" s="285"/>
      <c r="B157" s="434" t="s">
        <v>2</v>
      </c>
      <c r="C157" s="338" t="s">
        <v>120</v>
      </c>
      <c r="D157" s="338" t="s">
        <v>4</v>
      </c>
      <c r="E157" s="338" t="s">
        <v>6</v>
      </c>
      <c r="F157" s="338" t="s">
        <v>9</v>
      </c>
      <c r="G157" s="338" t="s">
        <v>11</v>
      </c>
      <c r="H157" s="338" t="s">
        <v>13</v>
      </c>
      <c r="I157" s="338" t="s">
        <v>11</v>
      </c>
      <c r="J157" s="434" t="s">
        <v>15</v>
      </c>
      <c r="K157" s="434" t="s">
        <v>11</v>
      </c>
      <c r="L157" s="434" t="s">
        <v>18</v>
      </c>
      <c r="M157" s="435" t="s">
        <v>11</v>
      </c>
      <c r="N157" s="435" t="s">
        <v>19</v>
      </c>
      <c r="O157" s="175" t="s">
        <v>14</v>
      </c>
      <c r="P157" s="435" t="s">
        <v>21</v>
      </c>
      <c r="Q157" s="435" t="s">
        <v>22</v>
      </c>
      <c r="R157" s="175" t="s">
        <v>23</v>
      </c>
      <c r="S157" s="172"/>
      <c r="T157" s="175">
        <f t="shared" si="41"/>
        <v>0</v>
      </c>
      <c r="U157" s="175">
        <f t="shared" si="42"/>
        <v>0</v>
      </c>
      <c r="V157" s="175">
        <f t="shared" si="43"/>
        <v>0</v>
      </c>
      <c r="W157" s="424"/>
      <c r="X157" s="173"/>
      <c r="Y157" s="173"/>
      <c r="Z157" s="173"/>
      <c r="AA157" s="429"/>
      <c r="AB157" s="223">
        <f>IF(ISBLANK('Weapons &amp; Gear'!O11),'Weapons &amp; Gear'!T11,'Weapons &amp; Gear'!T11*'Weapons &amp; Gear'!O11)</f>
        <v>0</v>
      </c>
      <c r="AC157" s="173"/>
      <c r="AD157" s="173"/>
      <c r="AE157" s="175"/>
      <c r="AF157" s="172"/>
      <c r="AG157" s="175"/>
      <c r="AH157" s="175"/>
      <c r="AI157" s="172"/>
      <c r="AJ157" s="175"/>
      <c r="AK157" s="172"/>
      <c r="AL157" s="172"/>
      <c r="AM157" s="172"/>
      <c r="AN157" s="418"/>
      <c r="AO157" s="428"/>
      <c r="AP157" s="428"/>
      <c r="AQ157" s="431"/>
      <c r="AR157" s="217"/>
      <c r="AS157" s="218"/>
    </row>
    <row r="158">
      <c r="A158" s="285"/>
      <c r="B158" s="338">
        <f>IFERROR(__xludf.DUMMYFUNCTION("IF(ISNA(FILTER('Armour &amp; Shields'!B3:B21,'Armour &amp; Shields'!B3:B21&lt;&gt;"""")),"""",FILTER('Armour &amp; Shields'!B3:B21,'Armour &amp; Shields'!B3:B21&lt;&gt;""""))"),"0")</f>
        <v>0</v>
      </c>
      <c r="C158" s="338" t="str">
        <f>IFERROR(__xludf.DUMMYFUNCTION("IF(ISNA(FILTER('Armour &amp; Shields'!C3:C21,'Armour &amp; Shields'!C3:C21&lt;&gt;"""")),"""",FILTER('Armour &amp; Shields'!C3:C21,'Armour &amp; Shields'!C3:C21&lt;&gt;""""))"),"")</f>
        <v/>
      </c>
      <c r="D158" s="338" t="str">
        <f>IFERROR(__xludf.DUMMYFUNCTION("IF(ISNA(FILTER('Armour &amp; Shields'!D3:D21,'Armour &amp; Shields'!D3:D21&lt;&gt;"""")),"""",FILTER('Armour &amp; Shields'!D3:D21,'Armour &amp; Shields'!D3:D21&lt;&gt;""""))"),"Standard")</f>
        <v>Standard</v>
      </c>
      <c r="E158" s="338" t="str">
        <f>IFERROR(__xludf.DUMMYFUNCTION("IF(ISNA(FILTER('Armour &amp; Shields'!E3:E21,'Armour &amp; Shields'!E3:E21&lt;&gt;"""")),"""",FILTER('Armour &amp; Shields'!E3:E21,'Armour &amp; Shields'!E3:E21&lt;&gt;""""))"),"Untrained")</f>
        <v>Untrained</v>
      </c>
      <c r="F158" s="338" t="str">
        <f>IFERROR(__xludf.DUMMYFUNCTION("IF(ISNA(FILTER('Armour &amp; Shields'!F3:F21,'Armour &amp; Shields'!F3:F21&lt;&gt;"""")),"""",FILTER('Armour &amp; Shields'!F3:F21,'Armour &amp; Shields'!F3:F21&lt;&gt;""""))"),"")</f>
        <v/>
      </c>
      <c r="G158" s="338" t="str">
        <f>IFERROR(__xludf.DUMMYFUNCTION("IF(ISNA(FILTER('Armour &amp; Shields'!G3:G21,'Armour &amp; Shields'!G3:G21&lt;&gt;"""")),"""",FILTER('Armour &amp; Shields'!G3:G21,'Armour &amp; Shields'!G3:G21&lt;&gt;""""))"),"")</f>
        <v/>
      </c>
      <c r="H158" s="338" t="str">
        <f>IFERROR(__xludf.DUMMYFUNCTION("IF(ISNA(FILTER('Armour &amp; Shields'!H3:H21,'Armour &amp; Shields'!H3:H21&lt;&gt;"""")),"""",FILTER('Armour &amp; Shields'!H3:H21,'Armour &amp; Shields'!H3:H21&lt;&gt;""""))"),"-")</f>
        <v>-</v>
      </c>
      <c r="I158" s="338" t="str">
        <f>IFERROR(__xludf.DUMMYFUNCTION("IF(ISNA(FILTER('Armour &amp; Shields'!I3:I21,'Armour &amp; Shields'!I3:I21&lt;&gt;"""")),"""",FILTER('Armour &amp; Shields'!I3:I21,'Armour &amp; Shields'!I3:I21&lt;&gt;""""))"),"")</f>
        <v/>
      </c>
      <c r="J158" s="338" t="str">
        <f>IFERROR(__xludf.DUMMYFUNCTION("IF(ISNA(FILTER('Armour &amp; Shields'!J3:J21,'Armour &amp; Shields'!J3:J21&lt;&gt;"""")),"""",FILTER('Armour &amp; Shields'!J3:J21,'Armour &amp; Shields'!J3:J21&lt;&gt;""""))"),"-")</f>
        <v>-</v>
      </c>
      <c r="K158" s="338" t="str">
        <f>IFERROR(__xludf.DUMMYFUNCTION("IF(ISNA(FILTER('Armour &amp; Shields'!K3:K21,'Armour &amp; Shields'!K3:K21&lt;&gt;"""")),"""",FILTER('Armour &amp; Shields'!K3:K21,'Armour &amp; Shields'!K3:K21&lt;&gt;""""))"),"")</f>
        <v/>
      </c>
      <c r="L158" s="338" t="str">
        <f>IFERROR(__xludf.DUMMYFUNCTION("IF(ISNA(FILTER('Armour &amp; Shields'!L3:L21,'Armour &amp; Shields'!L3:L21&lt;&gt;"""")),"""",FILTER('Armour &amp; Shields'!L3:L21,'Armour &amp; Shields'!L3:L21&lt;&gt;""""))"),"-")</f>
        <v>-</v>
      </c>
      <c r="M158" s="338" t="str">
        <f>IFERROR(__xludf.DUMMYFUNCTION("IF(ISNA(FILTER('Armour &amp; Shields'!N3:N21,'Armour &amp; Shields'!N3:N21&lt;&gt;"""")),"""",FILTER('Armour &amp; Shields'!N3:N21,'Armour &amp; Shields'!N3:N21&lt;&gt;""""))"),"")</f>
        <v/>
      </c>
      <c r="N158" s="338" t="str">
        <f>IFERROR(__xludf.DUMMYFUNCTION("IF(ISNA(FILTER('Armour &amp; Shields'!O3:O21,'Armour &amp; Shields'!O3:O21&lt;&gt;"""")),"""",FILTER('Armour &amp; Shields'!O3:O21,'Armour &amp; Shields'!O3:O21&lt;&gt;""""))"),"-")</f>
        <v>-</v>
      </c>
      <c r="O158" s="338" t="str">
        <f>IFERROR(__xludf.DUMMYFUNCTION("IF(ISNA(FILTER('Armour &amp; Shields'!P3:P21,'Armour &amp; Shields'!P3:P21&lt;&gt;"""")),"""",FILTER('Armour &amp; Shields'!P3:P21,'Armour &amp; Shields'!P3:P21&lt;&gt;""""))"),"")</f>
        <v/>
      </c>
      <c r="P158" s="338" t="str">
        <f>IFERROR(__xludf.DUMMYFUNCTION("IF(ISNA(FILTER('Armour &amp; Shields'!R3:R21,'Armour &amp; Shields'!R3:R21&lt;&gt;"""")),"""",FILTER('Armour &amp; Shields'!R3:R21,'Armour &amp; Shields'!R3:R21&lt;&gt;""""))"),"-")</f>
        <v>-</v>
      </c>
      <c r="Q158" s="338" t="str">
        <f>IFERROR(__xludf.DUMMYFUNCTION("IF(ISNA(FILTER('Armour &amp; Shields'!S3:S21,'Armour &amp; Shields'!S3:S21&lt;&gt;"""")),"""",FILTER('Armour &amp; Shields'!S3:S21,'Armour &amp; Shields'!S3:S21&lt;&gt;""""))"),"-")</f>
        <v>-</v>
      </c>
      <c r="R158" s="338" t="str">
        <f>IFERROR(__xludf.DUMMYFUNCTION("IF(ISNA(FILTER('Armour &amp; Shields'!T3:T21,'Armour &amp; Shields'!T3:T21&lt;&gt;"""")),"""",FILTER('Armour &amp; Shields'!T3:T21,'Armour &amp; Shields'!T3:T21&lt;&gt;""""))"),"-")</f>
        <v>-</v>
      </c>
      <c r="S158" s="172"/>
      <c r="T158" s="175">
        <f t="shared" si="41"/>
        <v>0</v>
      </c>
      <c r="U158" s="175">
        <f t="shared" si="42"/>
        <v>0</v>
      </c>
      <c r="V158" s="175">
        <f t="shared" si="43"/>
        <v>0</v>
      </c>
      <c r="W158" s="338"/>
      <c r="X158" s="421"/>
      <c r="Y158" s="421"/>
      <c r="Z158" s="421"/>
      <c r="AA158" s="429"/>
      <c r="AB158" s="223">
        <f>IF(ISBLANK('Weapons &amp; Gear'!O12),'Weapons &amp; Gear'!T12,'Weapons &amp; Gear'!T12*'Weapons &amp; Gear'!O12)</f>
        <v>0</v>
      </c>
      <c r="AC158" s="175"/>
      <c r="AD158" s="175"/>
      <c r="AE158" s="175"/>
      <c r="AF158" s="172"/>
      <c r="AG158" s="175"/>
      <c r="AH158" s="172"/>
      <c r="AI158" s="172"/>
      <c r="AJ158" s="175"/>
      <c r="AK158" s="172"/>
      <c r="AL158" s="172"/>
      <c r="AM158" s="172"/>
      <c r="AN158" s="418"/>
      <c r="AO158" s="428"/>
      <c r="AP158" s="428"/>
      <c r="AQ158" s="431"/>
      <c r="AR158" s="217"/>
      <c r="AS158" s="218"/>
    </row>
    <row r="159">
      <c r="A159" s="285"/>
      <c r="B159" s="421">
        <v>0.0</v>
      </c>
      <c r="C159" s="338"/>
      <c r="D159" s="338" t="s">
        <v>24</v>
      </c>
      <c r="E159" s="338" t="s">
        <v>25</v>
      </c>
      <c r="F159" s="338"/>
      <c r="G159" s="338"/>
      <c r="H159" s="338" t="s">
        <v>26</v>
      </c>
      <c r="I159" s="338"/>
      <c r="J159" s="421" t="s">
        <v>26</v>
      </c>
      <c r="K159" s="421"/>
      <c r="L159" s="421" t="s">
        <v>26</v>
      </c>
      <c r="M159" s="421"/>
      <c r="N159" s="172" t="s">
        <v>26</v>
      </c>
      <c r="O159" s="172"/>
      <c r="P159" s="175" t="s">
        <v>26</v>
      </c>
      <c r="Q159" s="172" t="s">
        <v>26</v>
      </c>
      <c r="R159" s="172" t="s">
        <v>26</v>
      </c>
      <c r="S159" s="172"/>
      <c r="T159" s="175">
        <f t="shared" si="41"/>
        <v>0</v>
      </c>
      <c r="U159" s="175">
        <f t="shared" si="42"/>
        <v>0</v>
      </c>
      <c r="V159" s="175">
        <f t="shared" si="43"/>
        <v>0</v>
      </c>
      <c r="W159" s="421"/>
      <c r="X159" s="421"/>
      <c r="Y159" s="421"/>
      <c r="Z159" s="421"/>
      <c r="AA159" s="429"/>
      <c r="AB159" s="223">
        <f>IF(ISBLANK('Weapons &amp; Gear'!O13),'Weapons &amp; Gear'!T13,'Weapons &amp; Gear'!T13*'Weapons &amp; Gear'!O13)</f>
        <v>0</v>
      </c>
      <c r="AC159" s="175"/>
      <c r="AD159" s="175"/>
      <c r="AE159" s="175"/>
      <c r="AF159" s="172"/>
      <c r="AG159" s="175"/>
      <c r="AH159" s="172"/>
      <c r="AI159" s="172"/>
      <c r="AJ159" s="172"/>
      <c r="AK159" s="172"/>
      <c r="AL159" s="172"/>
      <c r="AM159" s="172"/>
      <c r="AN159" s="418"/>
      <c r="AO159" s="428"/>
      <c r="AP159" s="428"/>
      <c r="AQ159" s="431"/>
      <c r="AR159" s="217"/>
      <c r="AS159" s="218"/>
    </row>
    <row r="160">
      <c r="A160" s="285"/>
      <c r="B160" s="421">
        <v>0.0</v>
      </c>
      <c r="C160" s="338"/>
      <c r="D160" s="338" t="s">
        <v>24</v>
      </c>
      <c r="E160" s="338" t="s">
        <v>25</v>
      </c>
      <c r="F160" s="338"/>
      <c r="G160" s="338"/>
      <c r="H160" s="338" t="s">
        <v>26</v>
      </c>
      <c r="I160" s="338"/>
      <c r="J160" s="421" t="s">
        <v>26</v>
      </c>
      <c r="K160" s="421"/>
      <c r="L160" s="421" t="s">
        <v>26</v>
      </c>
      <c r="M160" s="421"/>
      <c r="N160" s="172" t="s">
        <v>26</v>
      </c>
      <c r="O160" s="172"/>
      <c r="P160" s="175" t="s">
        <v>26</v>
      </c>
      <c r="Q160" s="172" t="s">
        <v>26</v>
      </c>
      <c r="R160" s="172" t="s">
        <v>26</v>
      </c>
      <c r="S160" s="172"/>
      <c r="T160" s="175">
        <f t="shared" si="41"/>
        <v>0</v>
      </c>
      <c r="U160" s="175">
        <f t="shared" si="42"/>
        <v>0</v>
      </c>
      <c r="V160" s="175">
        <f t="shared" si="43"/>
        <v>0</v>
      </c>
      <c r="W160" s="338"/>
      <c r="X160" s="421"/>
      <c r="Y160" s="421"/>
      <c r="Z160" s="421"/>
      <c r="AA160" s="429"/>
      <c r="AB160" s="223">
        <f>IF(ISBLANK('Weapons &amp; Gear'!O14),'Weapons &amp; Gear'!T14,'Weapons &amp; Gear'!T14*'Weapons &amp; Gear'!O14)</f>
        <v>0</v>
      </c>
      <c r="AC160" s="175"/>
      <c r="AD160" s="175"/>
      <c r="AE160" s="175"/>
      <c r="AF160" s="172"/>
      <c r="AG160" s="172"/>
      <c r="AH160" s="172"/>
      <c r="AI160" s="172"/>
      <c r="AJ160" s="175"/>
      <c r="AK160" s="172"/>
      <c r="AL160" s="172"/>
      <c r="AM160" s="172"/>
      <c r="AN160" s="418"/>
      <c r="AO160" s="428"/>
      <c r="AP160" s="428"/>
      <c r="AQ160" s="431"/>
      <c r="AR160" s="217"/>
      <c r="AS160" s="218"/>
    </row>
    <row r="161">
      <c r="A161" s="285"/>
      <c r="B161" s="421">
        <v>0.0</v>
      </c>
      <c r="C161" s="338"/>
      <c r="D161" s="338" t="s">
        <v>24</v>
      </c>
      <c r="E161" s="338" t="s">
        <v>25</v>
      </c>
      <c r="F161" s="338"/>
      <c r="G161" s="338"/>
      <c r="H161" s="338" t="s">
        <v>26</v>
      </c>
      <c r="I161" s="338"/>
      <c r="J161" s="421" t="s">
        <v>26</v>
      </c>
      <c r="K161" s="421"/>
      <c r="L161" s="421" t="s">
        <v>26</v>
      </c>
      <c r="M161" s="421"/>
      <c r="N161" s="172" t="s">
        <v>26</v>
      </c>
      <c r="O161" s="172"/>
      <c r="P161" s="175" t="s">
        <v>26</v>
      </c>
      <c r="Q161" s="175" t="s">
        <v>26</v>
      </c>
      <c r="R161" s="172" t="s">
        <v>26</v>
      </c>
      <c r="S161" s="172"/>
      <c r="T161" s="175">
        <f t="shared" si="41"/>
        <v>0</v>
      </c>
      <c r="U161" s="175">
        <f t="shared" si="42"/>
        <v>0</v>
      </c>
      <c r="V161" s="175">
        <f t="shared" si="43"/>
        <v>0</v>
      </c>
      <c r="W161" s="436"/>
      <c r="X161" s="421"/>
      <c r="Y161" s="421"/>
      <c r="Z161" s="421"/>
      <c r="AA161" s="429"/>
      <c r="AB161" s="223">
        <f>IF(ISBLANK('Weapons &amp; Gear'!O15),'Weapons &amp; Gear'!T15,'Weapons &amp; Gear'!T15*'Weapons &amp; Gear'!O15)</f>
        <v>0</v>
      </c>
      <c r="AC161" s="175"/>
      <c r="AD161" s="175"/>
      <c r="AE161" s="175"/>
      <c r="AF161" s="175"/>
      <c r="AG161" s="175"/>
      <c r="AH161" s="175"/>
      <c r="AI161" s="175"/>
      <c r="AJ161" s="172"/>
      <c r="AK161" s="172"/>
      <c r="AL161" s="172"/>
      <c r="AM161" s="172"/>
      <c r="AN161" s="418"/>
      <c r="AO161" s="428"/>
      <c r="AP161" s="428"/>
      <c r="AQ161" s="431"/>
      <c r="AR161" s="217"/>
      <c r="AS161" s="218"/>
    </row>
    <row r="162">
      <c r="A162" s="285"/>
      <c r="B162" s="421">
        <v>0.0</v>
      </c>
      <c r="C162" s="338"/>
      <c r="D162" s="338" t="s">
        <v>24</v>
      </c>
      <c r="E162" s="338" t="s">
        <v>25</v>
      </c>
      <c r="F162" s="338"/>
      <c r="G162" s="338"/>
      <c r="H162" s="338" t="s">
        <v>26</v>
      </c>
      <c r="I162" s="338"/>
      <c r="J162" s="421" t="s">
        <v>26</v>
      </c>
      <c r="K162" s="421"/>
      <c r="L162" s="421" t="s">
        <v>26</v>
      </c>
      <c r="M162" s="421"/>
      <c r="N162" s="172" t="s">
        <v>26</v>
      </c>
      <c r="O162" s="172"/>
      <c r="P162" s="175" t="s">
        <v>26</v>
      </c>
      <c r="Q162" s="172" t="s">
        <v>26</v>
      </c>
      <c r="R162" s="172" t="s">
        <v>26</v>
      </c>
      <c r="S162" s="172"/>
      <c r="T162" s="175">
        <f t="shared" si="41"/>
        <v>0</v>
      </c>
      <c r="U162" s="175">
        <f t="shared" si="42"/>
        <v>0</v>
      </c>
      <c r="V162" s="175">
        <f t="shared" si="43"/>
        <v>0</v>
      </c>
      <c r="W162" s="338"/>
      <c r="X162" s="421"/>
      <c r="Y162" s="421"/>
      <c r="Z162" s="421"/>
      <c r="AA162" s="429"/>
      <c r="AB162" s="223">
        <f>IF(ISBLANK('Weapons &amp; Gear'!O16),'Weapons &amp; Gear'!T16,'Weapons &amp; Gear'!T16*'Weapons &amp; Gear'!O16)</f>
        <v>0</v>
      </c>
      <c r="AC162" s="175"/>
      <c r="AD162" s="175"/>
      <c r="AE162" s="175"/>
      <c r="AF162" s="172"/>
      <c r="AG162" s="172"/>
      <c r="AH162" s="175"/>
      <c r="AI162" s="175"/>
      <c r="AJ162" s="172"/>
      <c r="AK162" s="172"/>
      <c r="AL162" s="172"/>
      <c r="AM162" s="172"/>
      <c r="AN162" s="418"/>
      <c r="AO162" s="428"/>
      <c r="AP162" s="428"/>
      <c r="AQ162" s="431"/>
      <c r="AR162" s="217"/>
      <c r="AS162" s="218"/>
    </row>
    <row r="163">
      <c r="A163" s="285"/>
      <c r="B163" s="421">
        <v>0.0</v>
      </c>
      <c r="C163" s="338"/>
      <c r="D163" s="338" t="s">
        <v>24</v>
      </c>
      <c r="E163" s="338" t="s">
        <v>25</v>
      </c>
      <c r="F163" s="338"/>
      <c r="G163" s="338"/>
      <c r="H163" s="338" t="s">
        <v>26</v>
      </c>
      <c r="I163" s="338"/>
      <c r="J163" s="421" t="s">
        <v>26</v>
      </c>
      <c r="K163" s="421"/>
      <c r="L163" s="421" t="s">
        <v>26</v>
      </c>
      <c r="M163" s="421"/>
      <c r="N163" s="172" t="s">
        <v>26</v>
      </c>
      <c r="O163" s="172"/>
      <c r="P163" s="175" t="s">
        <v>26</v>
      </c>
      <c r="Q163" s="172" t="s">
        <v>26</v>
      </c>
      <c r="R163" s="172" t="s">
        <v>26</v>
      </c>
      <c r="S163" s="172"/>
      <c r="T163" s="175">
        <f t="shared" si="41"/>
        <v>0</v>
      </c>
      <c r="U163" s="175">
        <f t="shared" si="42"/>
        <v>0</v>
      </c>
      <c r="V163" s="175">
        <f t="shared" si="43"/>
        <v>0</v>
      </c>
      <c r="W163" s="421"/>
      <c r="X163" s="421"/>
      <c r="Y163" s="421"/>
      <c r="Z163" s="421"/>
      <c r="AA163" s="429"/>
      <c r="AB163" s="223">
        <f>IF(ISBLANK('Weapons &amp; Gear'!O17),'Weapons &amp; Gear'!T17,'Weapons &amp; Gear'!T17*'Weapons &amp; Gear'!O17)</f>
        <v>0</v>
      </c>
      <c r="AC163" s="175"/>
      <c r="AD163" s="175"/>
      <c r="AE163" s="175"/>
      <c r="AF163" s="172"/>
      <c r="AG163" s="175"/>
      <c r="AH163" s="175"/>
      <c r="AI163" s="172"/>
      <c r="AJ163" s="175"/>
      <c r="AK163" s="172"/>
      <c r="AL163" s="172"/>
      <c r="AM163" s="172"/>
      <c r="AN163" s="418"/>
      <c r="AO163" s="428"/>
      <c r="AP163" s="428"/>
      <c r="AQ163" s="431"/>
      <c r="AR163" s="217"/>
      <c r="AS163" s="218"/>
    </row>
    <row r="164">
      <c r="A164" s="285"/>
      <c r="B164" s="421">
        <v>0.0</v>
      </c>
      <c r="C164" s="338"/>
      <c r="D164" s="338" t="s">
        <v>24</v>
      </c>
      <c r="E164" s="338" t="s">
        <v>25</v>
      </c>
      <c r="F164" s="338"/>
      <c r="G164" s="338"/>
      <c r="H164" s="338" t="s">
        <v>26</v>
      </c>
      <c r="I164" s="338"/>
      <c r="J164" s="421" t="s">
        <v>26</v>
      </c>
      <c r="K164" s="421"/>
      <c r="L164" s="421" t="s">
        <v>26</v>
      </c>
      <c r="M164" s="421"/>
      <c r="N164" s="172" t="s">
        <v>26</v>
      </c>
      <c r="O164" s="172"/>
      <c r="P164" s="175" t="s">
        <v>26</v>
      </c>
      <c r="Q164" s="172" t="s">
        <v>26</v>
      </c>
      <c r="R164" s="172" t="s">
        <v>26</v>
      </c>
      <c r="S164" s="172"/>
      <c r="T164" s="175">
        <f t="shared" si="41"/>
        <v>0</v>
      </c>
      <c r="U164" s="175">
        <f t="shared" si="42"/>
        <v>0</v>
      </c>
      <c r="V164" s="175">
        <f t="shared" si="43"/>
        <v>0</v>
      </c>
      <c r="W164" s="421"/>
      <c r="X164" s="421"/>
      <c r="Y164" s="421"/>
      <c r="Z164" s="421"/>
      <c r="AA164" s="429"/>
      <c r="AB164" s="223">
        <f>IF(ISBLANK('Weapons &amp; Gear'!O18),'Weapons &amp; Gear'!T18,'Weapons &amp; Gear'!T18*'Weapons &amp; Gear'!O18)</f>
        <v>0</v>
      </c>
      <c r="AC164" s="175"/>
      <c r="AD164" s="175"/>
      <c r="AE164" s="175"/>
      <c r="AF164" s="172"/>
      <c r="AG164" s="175"/>
      <c r="AH164" s="172"/>
      <c r="AI164" s="172"/>
      <c r="AJ164" s="172"/>
      <c r="AK164" s="175"/>
      <c r="AL164" s="172"/>
      <c r="AM164" s="172"/>
      <c r="AN164" s="418"/>
      <c r="AO164" s="428"/>
      <c r="AP164" s="428"/>
      <c r="AQ164" s="431"/>
      <c r="AR164" s="217"/>
      <c r="AS164" s="218"/>
    </row>
    <row r="165">
      <c r="A165" s="285"/>
      <c r="B165" s="421">
        <v>0.0</v>
      </c>
      <c r="C165" s="338"/>
      <c r="D165" s="338" t="s">
        <v>24</v>
      </c>
      <c r="E165" s="338" t="s">
        <v>25</v>
      </c>
      <c r="F165" s="338"/>
      <c r="G165" s="338"/>
      <c r="H165" s="338" t="s">
        <v>26</v>
      </c>
      <c r="I165" s="338"/>
      <c r="J165" s="421" t="s">
        <v>26</v>
      </c>
      <c r="K165" s="421"/>
      <c r="L165" s="421" t="s">
        <v>26</v>
      </c>
      <c r="M165" s="421"/>
      <c r="N165" s="172" t="s">
        <v>26</v>
      </c>
      <c r="O165" s="172"/>
      <c r="P165" s="175" t="s">
        <v>26</v>
      </c>
      <c r="Q165" s="172" t="s">
        <v>26</v>
      </c>
      <c r="R165" s="172" t="s">
        <v>26</v>
      </c>
      <c r="S165" s="172"/>
      <c r="T165" s="175">
        <f t="shared" si="41"/>
        <v>0</v>
      </c>
      <c r="U165" s="175">
        <f t="shared" si="42"/>
        <v>0</v>
      </c>
      <c r="V165" s="175">
        <f t="shared" si="43"/>
        <v>0</v>
      </c>
      <c r="W165" s="421"/>
      <c r="X165" s="421"/>
      <c r="Y165" s="421"/>
      <c r="Z165" s="421"/>
      <c r="AA165" s="429"/>
      <c r="AB165" s="223">
        <f>IF(ISBLANK('Weapons &amp; Gear'!O19),'Weapons &amp; Gear'!T19,'Weapons &amp; Gear'!T19*'Weapons &amp; Gear'!O19)</f>
        <v>0</v>
      </c>
      <c r="AC165" s="175"/>
      <c r="AD165" s="175"/>
      <c r="AE165" s="175"/>
      <c r="AF165" s="175"/>
      <c r="AG165" s="172"/>
      <c r="AH165" s="175"/>
      <c r="AI165" s="175"/>
      <c r="AJ165" s="172"/>
      <c r="AK165" s="172"/>
      <c r="AL165" s="172"/>
      <c r="AM165" s="172"/>
      <c r="AN165" s="418"/>
      <c r="AO165" s="428"/>
      <c r="AP165" s="428"/>
      <c r="AQ165" s="431"/>
      <c r="AR165" s="217"/>
      <c r="AS165" s="218"/>
    </row>
    <row r="166">
      <c r="A166" s="285"/>
      <c r="B166" s="421">
        <v>0.0</v>
      </c>
      <c r="C166" s="421"/>
      <c r="D166" s="421" t="s">
        <v>24</v>
      </c>
      <c r="E166" s="421" t="s">
        <v>25</v>
      </c>
      <c r="F166" s="421"/>
      <c r="G166" s="421"/>
      <c r="H166" s="421" t="s">
        <v>26</v>
      </c>
      <c r="I166" s="421"/>
      <c r="J166" s="421" t="s">
        <v>26</v>
      </c>
      <c r="K166" s="421"/>
      <c r="L166" s="421" t="s">
        <v>26</v>
      </c>
      <c r="M166" s="421"/>
      <c r="N166" s="172" t="s">
        <v>26</v>
      </c>
      <c r="O166" s="172"/>
      <c r="P166" s="175" t="s">
        <v>26</v>
      </c>
      <c r="Q166" s="172" t="s">
        <v>26</v>
      </c>
      <c r="R166" s="172" t="s">
        <v>26</v>
      </c>
      <c r="S166" s="172"/>
      <c r="T166" s="175">
        <f t="shared" si="41"/>
        <v>0</v>
      </c>
      <c r="U166" s="175">
        <f t="shared" si="42"/>
        <v>0</v>
      </c>
      <c r="V166" s="175">
        <f t="shared" si="43"/>
        <v>0</v>
      </c>
      <c r="W166" s="421"/>
      <c r="X166" s="421"/>
      <c r="Y166" s="421"/>
      <c r="Z166" s="421"/>
      <c r="AA166" s="429"/>
      <c r="AB166" s="223">
        <f>IF(ISBLANK('Weapons &amp; Gear'!O20),'Weapons &amp; Gear'!T20,'Weapons &amp; Gear'!T20*'Weapons &amp; Gear'!O20)</f>
        <v>0</v>
      </c>
      <c r="AC166" s="175"/>
      <c r="AD166" s="175"/>
      <c r="AE166" s="175"/>
      <c r="AF166" s="175"/>
      <c r="AG166" s="172"/>
      <c r="AH166" s="172"/>
      <c r="AI166" s="175"/>
      <c r="AJ166" s="172"/>
      <c r="AK166" s="172"/>
      <c r="AL166" s="172"/>
      <c r="AM166" s="172"/>
      <c r="AN166" s="418"/>
      <c r="AO166" s="428"/>
      <c r="AP166" s="428"/>
      <c r="AQ166" s="174"/>
      <c r="AR166" s="217"/>
      <c r="AS166" s="218"/>
    </row>
    <row r="167">
      <c r="A167" s="285"/>
      <c r="B167" s="421">
        <v>0.0</v>
      </c>
      <c r="C167" s="421"/>
      <c r="D167" s="421" t="s">
        <v>24</v>
      </c>
      <c r="E167" s="421" t="s">
        <v>25</v>
      </c>
      <c r="F167" s="421"/>
      <c r="G167" s="421"/>
      <c r="H167" s="421" t="s">
        <v>26</v>
      </c>
      <c r="I167" s="421"/>
      <c r="J167" s="421" t="s">
        <v>26</v>
      </c>
      <c r="K167" s="421"/>
      <c r="L167" s="421" t="s">
        <v>26</v>
      </c>
      <c r="M167" s="421"/>
      <c r="N167" s="172" t="s">
        <v>26</v>
      </c>
      <c r="O167" s="172"/>
      <c r="P167" s="175" t="s">
        <v>26</v>
      </c>
      <c r="Q167" s="175" t="s">
        <v>26</v>
      </c>
      <c r="R167" s="172" t="s">
        <v>26</v>
      </c>
      <c r="S167" s="172"/>
      <c r="T167" s="175">
        <f t="shared" si="41"/>
        <v>0</v>
      </c>
      <c r="U167" s="175">
        <f t="shared" si="42"/>
        <v>0</v>
      </c>
      <c r="V167" s="175">
        <f t="shared" si="43"/>
        <v>0</v>
      </c>
      <c r="W167" s="421"/>
      <c r="X167" s="421"/>
      <c r="Y167" s="421"/>
      <c r="Z167" s="421"/>
      <c r="AA167" s="429"/>
      <c r="AB167" s="223">
        <f>IF(ISBLANK('Weapons &amp; Gear'!O21),'Weapons &amp; Gear'!T21,'Weapons &amp; Gear'!T21*'Weapons &amp; Gear'!O21)</f>
        <v>0</v>
      </c>
      <c r="AC167" s="175"/>
      <c r="AD167" s="175"/>
      <c r="AE167" s="175"/>
      <c r="AF167" s="175"/>
      <c r="AG167" s="172"/>
      <c r="AH167" s="175"/>
      <c r="AI167" s="175"/>
      <c r="AJ167" s="172"/>
      <c r="AK167" s="172"/>
      <c r="AL167" s="175"/>
      <c r="AM167" s="172"/>
      <c r="AN167" s="418"/>
      <c r="AO167" s="428"/>
      <c r="AP167" s="428"/>
      <c r="AQ167" s="174"/>
      <c r="AR167" s="217"/>
      <c r="AS167" s="218"/>
    </row>
    <row r="168">
      <c r="A168" s="285"/>
      <c r="B168" s="421">
        <v>0.0</v>
      </c>
      <c r="C168" s="421"/>
      <c r="D168" s="421" t="s">
        <v>24</v>
      </c>
      <c r="E168" s="421" t="s">
        <v>25</v>
      </c>
      <c r="F168" s="421"/>
      <c r="G168" s="421"/>
      <c r="H168" s="421" t="s">
        <v>26</v>
      </c>
      <c r="I168" s="421"/>
      <c r="J168" s="421" t="s">
        <v>26</v>
      </c>
      <c r="K168" s="421"/>
      <c r="L168" s="421" t="s">
        <v>26</v>
      </c>
      <c r="M168" s="421"/>
      <c r="N168" s="172" t="s">
        <v>26</v>
      </c>
      <c r="O168" s="172"/>
      <c r="P168" s="175" t="s">
        <v>26</v>
      </c>
      <c r="Q168" s="175" t="s">
        <v>26</v>
      </c>
      <c r="R168" s="424" t="s">
        <v>26</v>
      </c>
      <c r="S168" s="424"/>
      <c r="T168" s="175">
        <f t="shared" si="41"/>
        <v>0</v>
      </c>
      <c r="U168" s="175">
        <f t="shared" si="42"/>
        <v>0</v>
      </c>
      <c r="V168" s="175">
        <f t="shared" si="43"/>
        <v>0</v>
      </c>
      <c r="W168" s="421"/>
      <c r="X168" s="421"/>
      <c r="Y168" s="421"/>
      <c r="Z168" s="421"/>
      <c r="AA168" s="429"/>
      <c r="AB168" s="223">
        <f>IF(ISBLANK('Weapons &amp; Gear'!O22),'Weapons &amp; Gear'!T22,'Weapons &amp; Gear'!T22*'Weapons &amp; Gear'!O22)</f>
        <v>0</v>
      </c>
      <c r="AC168" s="175"/>
      <c r="AD168" s="175"/>
      <c r="AE168" s="175"/>
      <c r="AF168" s="172"/>
      <c r="AG168" s="172"/>
      <c r="AH168" s="172"/>
      <c r="AI168" s="175"/>
      <c r="AJ168" s="175"/>
      <c r="AK168" s="172"/>
      <c r="AL168" s="172"/>
      <c r="AM168" s="172"/>
      <c r="AN168" s="418"/>
      <c r="AO168" s="428"/>
      <c r="AP168" s="428"/>
      <c r="AQ168" s="174"/>
      <c r="AR168" s="217"/>
      <c r="AS168" s="218"/>
    </row>
    <row r="169">
      <c r="A169" s="285"/>
      <c r="B169" s="421">
        <v>0.0</v>
      </c>
      <c r="C169" s="421"/>
      <c r="D169" s="421" t="s">
        <v>24</v>
      </c>
      <c r="E169" s="421" t="s">
        <v>25</v>
      </c>
      <c r="F169" s="421"/>
      <c r="G169" s="421"/>
      <c r="H169" s="421" t="s">
        <v>26</v>
      </c>
      <c r="I169" s="421"/>
      <c r="J169" s="421" t="s">
        <v>26</v>
      </c>
      <c r="K169" s="421"/>
      <c r="L169" s="421" t="s">
        <v>26</v>
      </c>
      <c r="M169" s="421"/>
      <c r="N169" s="172" t="s">
        <v>26</v>
      </c>
      <c r="O169" s="172"/>
      <c r="P169" s="175" t="s">
        <v>26</v>
      </c>
      <c r="Q169" s="175" t="s">
        <v>26</v>
      </c>
      <c r="R169" s="424" t="s">
        <v>26</v>
      </c>
      <c r="S169" s="424"/>
      <c r="T169" s="175">
        <f t="shared" si="41"/>
        <v>0</v>
      </c>
      <c r="U169" s="175">
        <f t="shared" si="42"/>
        <v>0</v>
      </c>
      <c r="V169" s="175">
        <f t="shared" si="43"/>
        <v>0</v>
      </c>
      <c r="W169" s="421"/>
      <c r="X169" s="421"/>
      <c r="Y169" s="421"/>
      <c r="Z169" s="421"/>
      <c r="AA169" s="429"/>
      <c r="AB169" s="223">
        <f>IF(ISBLANK('Weapons &amp; Gear'!O23),'Weapons &amp; Gear'!T23,'Weapons &amp; Gear'!T23*'Weapons &amp; Gear'!O23)</f>
        <v>0</v>
      </c>
      <c r="AC169" s="175"/>
      <c r="AD169" s="175"/>
      <c r="AE169" s="175"/>
      <c r="AF169" s="172"/>
      <c r="AG169" s="172"/>
      <c r="AH169" s="172"/>
      <c r="AI169" s="172"/>
      <c r="AJ169" s="175"/>
      <c r="AK169" s="172"/>
      <c r="AL169" s="172"/>
      <c r="AM169" s="172"/>
      <c r="AN169" s="418"/>
      <c r="AO169" s="428"/>
      <c r="AP169" s="428"/>
      <c r="AQ169" s="174"/>
      <c r="AR169" s="217"/>
      <c r="AS169" s="218"/>
    </row>
    <row r="170">
      <c r="A170" s="285"/>
      <c r="B170" s="437">
        <v>0.0</v>
      </c>
      <c r="C170" s="338"/>
      <c r="D170" s="338" t="s">
        <v>24</v>
      </c>
      <c r="E170" s="338" t="s">
        <v>25</v>
      </c>
      <c r="F170" s="338"/>
      <c r="G170" s="338"/>
      <c r="H170" s="338" t="s">
        <v>26</v>
      </c>
      <c r="I170" s="338"/>
      <c r="J170" s="338" t="s">
        <v>26</v>
      </c>
      <c r="K170" s="421"/>
      <c r="L170" s="421" t="s">
        <v>26</v>
      </c>
      <c r="M170" s="421"/>
      <c r="N170" s="172" t="s">
        <v>26</v>
      </c>
      <c r="O170" s="172"/>
      <c r="P170" s="175" t="s">
        <v>26</v>
      </c>
      <c r="Q170" s="175" t="s">
        <v>26</v>
      </c>
      <c r="R170" s="424" t="s">
        <v>26</v>
      </c>
      <c r="S170" s="424"/>
      <c r="T170" s="175">
        <f t="shared" si="41"/>
        <v>0</v>
      </c>
      <c r="U170" s="175">
        <f t="shared" si="42"/>
        <v>0</v>
      </c>
      <c r="V170" s="175">
        <f t="shared" si="43"/>
        <v>0</v>
      </c>
      <c r="W170" s="421"/>
      <c r="X170" s="421"/>
      <c r="Y170" s="421"/>
      <c r="Z170" s="421"/>
      <c r="AA170" s="429"/>
      <c r="AB170" s="223">
        <f>IF(ISBLANK('Weapons &amp; Gear'!O24),'Weapons &amp; Gear'!T24,'Weapons &amp; Gear'!T24*'Weapons &amp; Gear'!O24)</f>
        <v>0</v>
      </c>
      <c r="AC170" s="172"/>
      <c r="AD170" s="175"/>
      <c r="AE170" s="172"/>
      <c r="AF170" s="172"/>
      <c r="AG170" s="172"/>
      <c r="AH170" s="172"/>
      <c r="AI170" s="172"/>
      <c r="AJ170" s="172"/>
      <c r="AK170" s="172"/>
      <c r="AL170" s="172"/>
      <c r="AM170" s="172"/>
      <c r="AN170" s="172"/>
      <c r="AO170" s="174"/>
      <c r="AP170" s="174"/>
      <c r="AQ170" s="174"/>
      <c r="AR170" s="217"/>
      <c r="AS170" s="218"/>
    </row>
    <row r="171">
      <c r="A171" s="285"/>
      <c r="B171" s="437">
        <v>0.0</v>
      </c>
      <c r="C171" s="338"/>
      <c r="D171" s="338" t="s">
        <v>24</v>
      </c>
      <c r="E171" s="338" t="s">
        <v>25</v>
      </c>
      <c r="F171" s="338"/>
      <c r="G171" s="338"/>
      <c r="H171" s="338" t="s">
        <v>26</v>
      </c>
      <c r="I171" s="338"/>
      <c r="J171" s="338" t="s">
        <v>26</v>
      </c>
      <c r="K171" s="421"/>
      <c r="L171" s="421" t="s">
        <v>26</v>
      </c>
      <c r="M171" s="421"/>
      <c r="N171" s="172" t="s">
        <v>26</v>
      </c>
      <c r="O171" s="172"/>
      <c r="P171" s="175" t="s">
        <v>26</v>
      </c>
      <c r="Q171" s="175" t="s">
        <v>26</v>
      </c>
      <c r="R171" s="424" t="s">
        <v>26</v>
      </c>
      <c r="S171" s="424"/>
      <c r="T171" s="175">
        <f t="shared" si="41"/>
        <v>0</v>
      </c>
      <c r="U171" s="175">
        <f t="shared" si="42"/>
        <v>0</v>
      </c>
      <c r="V171" s="175">
        <f t="shared" si="43"/>
        <v>0</v>
      </c>
      <c r="W171" s="421"/>
      <c r="X171" s="421"/>
      <c r="Y171" s="421"/>
      <c r="Z171" s="421"/>
      <c r="AA171" s="429"/>
      <c r="AB171" s="223">
        <f>IF(ISBLANK('Weapons &amp; Gear'!O25),'Weapons &amp; Gear'!T25,'Weapons &amp; Gear'!T25*'Weapons &amp; Gear'!O25)</f>
        <v>0</v>
      </c>
      <c r="AC171" s="172"/>
      <c r="AD171" s="172">
        <f t="shared" ref="AD171:AH171" si="47">C13</f>
        <v>3</v>
      </c>
      <c r="AE171" s="172">
        <f t="shared" si="47"/>
        <v>3</v>
      </c>
      <c r="AF171" s="172">
        <f t="shared" si="47"/>
        <v>3</v>
      </c>
      <c r="AG171" s="172">
        <f t="shared" si="47"/>
        <v>3</v>
      </c>
      <c r="AH171" s="172">
        <f t="shared" si="47"/>
        <v>3</v>
      </c>
      <c r="AI171" s="172">
        <f t="shared" ref="AI171:AJ171" si="48">C20</f>
        <v>3</v>
      </c>
      <c r="AJ171" s="172">
        <f t="shared" si="48"/>
        <v>3</v>
      </c>
      <c r="AK171" s="172"/>
      <c r="AL171" s="172">
        <f t="shared" ref="AL171:AM171" si="49">F20</f>
        <v>0</v>
      </c>
      <c r="AM171" s="172">
        <f t="shared" si="49"/>
        <v>0</v>
      </c>
      <c r="AN171" s="172"/>
      <c r="AO171" s="174"/>
      <c r="AP171" s="174"/>
      <c r="AQ171" s="174"/>
      <c r="AR171" s="217"/>
      <c r="AS171" s="218"/>
    </row>
    <row r="172">
      <c r="A172" s="285"/>
      <c r="B172" s="338">
        <v>0.0</v>
      </c>
      <c r="C172" s="338"/>
      <c r="D172" s="338" t="s">
        <v>24</v>
      </c>
      <c r="E172" s="338" t="s">
        <v>25</v>
      </c>
      <c r="F172" s="338"/>
      <c r="G172" s="338"/>
      <c r="H172" s="338" t="s">
        <v>26</v>
      </c>
      <c r="I172" s="338"/>
      <c r="J172" s="338" t="s">
        <v>26</v>
      </c>
      <c r="K172" s="421"/>
      <c r="L172" s="421" t="s">
        <v>26</v>
      </c>
      <c r="M172" s="421"/>
      <c r="N172" s="172" t="s">
        <v>26</v>
      </c>
      <c r="O172" s="172"/>
      <c r="P172" s="175" t="s">
        <v>26</v>
      </c>
      <c r="Q172" s="175" t="s">
        <v>26</v>
      </c>
      <c r="R172" s="424" t="s">
        <v>26</v>
      </c>
      <c r="S172" s="424"/>
      <c r="T172" s="175">
        <f t="shared" si="41"/>
        <v>0</v>
      </c>
      <c r="U172" s="175">
        <f t="shared" si="42"/>
        <v>0</v>
      </c>
      <c r="V172" s="175">
        <f t="shared" si="43"/>
        <v>0</v>
      </c>
      <c r="W172" s="421"/>
      <c r="X172" s="421"/>
      <c r="Y172" s="421"/>
      <c r="Z172" s="421"/>
      <c r="AA172" s="429"/>
      <c r="AB172" s="223">
        <f>IF(ISBLANK('Weapons &amp; Gear'!O26),'Weapons &amp; Gear'!T26,'Weapons &amp; Gear'!T26*'Weapons &amp; Gear'!O26)</f>
        <v>0</v>
      </c>
      <c r="AC172" s="172"/>
      <c r="AD172" s="175" t="s">
        <v>56</v>
      </c>
      <c r="AE172" s="175" t="s">
        <v>57</v>
      </c>
      <c r="AF172" s="175" t="s">
        <v>58</v>
      </c>
      <c r="AG172" s="175" t="s">
        <v>59</v>
      </c>
      <c r="AH172" s="175" t="s">
        <v>60</v>
      </c>
      <c r="AI172" s="175" t="s">
        <v>61</v>
      </c>
      <c r="AJ172" s="175" t="s">
        <v>62</v>
      </c>
      <c r="AK172" s="175"/>
      <c r="AL172" s="175" t="s">
        <v>64</v>
      </c>
      <c r="AM172" s="175" t="s">
        <v>65</v>
      </c>
      <c r="AN172" s="172"/>
      <c r="AO172" s="174"/>
      <c r="AP172" s="174"/>
      <c r="AQ172" s="174"/>
      <c r="AR172" s="217"/>
      <c r="AS172" s="218"/>
    </row>
    <row r="173">
      <c r="A173" s="285"/>
      <c r="B173" s="338">
        <v>0.0</v>
      </c>
      <c r="C173" s="338"/>
      <c r="D173" s="338" t="s">
        <v>24</v>
      </c>
      <c r="E173" s="338" t="s">
        <v>25</v>
      </c>
      <c r="F173" s="338"/>
      <c r="G173" s="338"/>
      <c r="H173" s="338" t="s">
        <v>26</v>
      </c>
      <c r="I173" s="338"/>
      <c r="J173" s="338" t="s">
        <v>26</v>
      </c>
      <c r="K173" s="421"/>
      <c r="L173" s="421" t="s">
        <v>26</v>
      </c>
      <c r="M173" s="421"/>
      <c r="N173" s="172" t="s">
        <v>26</v>
      </c>
      <c r="O173" s="172"/>
      <c r="P173" s="175" t="s">
        <v>26</v>
      </c>
      <c r="Q173" s="175" t="s">
        <v>26</v>
      </c>
      <c r="R173" s="424" t="s">
        <v>26</v>
      </c>
      <c r="S173" s="424"/>
      <c r="T173" s="175">
        <f t="shared" si="41"/>
        <v>0</v>
      </c>
      <c r="U173" s="175">
        <f t="shared" si="42"/>
        <v>0</v>
      </c>
      <c r="V173" s="175">
        <f t="shared" si="43"/>
        <v>0</v>
      </c>
      <c r="W173" s="421"/>
      <c r="X173" s="421"/>
      <c r="Y173" s="421"/>
      <c r="Z173" s="421"/>
      <c r="AA173" s="429"/>
      <c r="AB173" s="223">
        <f>IF(ISBLANK('Weapons &amp; Gear'!O27),'Weapons &amp; Gear'!T27,'Weapons &amp; Gear'!T27*'Weapons &amp; Gear'!O27)</f>
        <v>0</v>
      </c>
      <c r="AC173" s="174"/>
      <c r="AD173" s="174"/>
      <c r="AE173" s="174"/>
      <c r="AF173" s="173"/>
      <c r="AG173" s="174"/>
      <c r="AH173" s="174"/>
      <c r="AI173" s="174"/>
      <c r="AJ173" s="174"/>
      <c r="AK173" s="174"/>
      <c r="AL173" s="174"/>
      <c r="AM173" s="174"/>
      <c r="AN173" s="174"/>
      <c r="AO173" s="174"/>
      <c r="AP173" s="174"/>
      <c r="AQ173" s="174"/>
      <c r="AR173" s="217"/>
      <c r="AS173" s="218"/>
    </row>
    <row r="174">
      <c r="A174" s="285"/>
      <c r="B174" s="338">
        <v>0.0</v>
      </c>
      <c r="C174" s="338"/>
      <c r="D174" s="338" t="s">
        <v>24</v>
      </c>
      <c r="E174" s="421" t="s">
        <v>25</v>
      </c>
      <c r="F174" s="421"/>
      <c r="G174" s="421"/>
      <c r="H174" s="421" t="s">
        <v>26</v>
      </c>
      <c r="I174" s="421"/>
      <c r="J174" s="421" t="s">
        <v>26</v>
      </c>
      <c r="K174" s="421"/>
      <c r="L174" s="421" t="s">
        <v>26</v>
      </c>
      <c r="M174" s="421"/>
      <c r="N174" s="172" t="s">
        <v>26</v>
      </c>
      <c r="O174" s="172"/>
      <c r="P174" s="175" t="s">
        <v>26</v>
      </c>
      <c r="Q174" s="175" t="s">
        <v>26</v>
      </c>
      <c r="R174" s="424" t="s">
        <v>26</v>
      </c>
      <c r="S174" s="424"/>
      <c r="T174" s="175">
        <f t="shared" si="41"/>
        <v>0</v>
      </c>
      <c r="U174" s="175">
        <f t="shared" si="42"/>
        <v>0</v>
      </c>
      <c r="V174" s="175">
        <f t="shared" si="43"/>
        <v>0</v>
      </c>
      <c r="W174" s="421"/>
      <c r="X174" s="421"/>
      <c r="Y174" s="421"/>
      <c r="Z174" s="421"/>
      <c r="AA174" s="429"/>
      <c r="AB174" s="223">
        <f>IF(ISBLANK('Weapons &amp; Gear'!O28),'Weapons &amp; Gear'!T28,'Weapons &amp; Gear'!T28*'Weapons &amp; Gear'!O28)</f>
        <v>0</v>
      </c>
      <c r="AC174" s="174"/>
      <c r="AD174" s="174"/>
      <c r="AE174" s="361"/>
      <c r="AF174" s="361"/>
      <c r="AG174" s="174"/>
      <c r="AH174" s="361">
        <v>-36.0</v>
      </c>
      <c r="AI174" s="361">
        <v>-8.0</v>
      </c>
      <c r="AJ174" s="174"/>
      <c r="AK174" s="174"/>
      <c r="AL174" s="174"/>
      <c r="AM174" s="174"/>
      <c r="AN174" s="174" t="str">
        <f>IF(P3="Human","Varied",IF(P3="Borian","Darksight",IF(P3="Orgron","Dull-witted",IF(P3="Felan","Fast",IF(P3="Spartan","Berserker",IF(P3="Android","Mindless",IF(P3="Venetian","Naturally psionic","Attribute")))))))</f>
        <v>Attribute</v>
      </c>
      <c r="AO174" s="174" t="str">
        <f>IF(P3="Human","Human boast more variation within their species than most. Add 2 to one other attribute, and add 1 to a third attribute (noted above).",IF(P3="Borian","Borians can see in the dark to a distance of 10' per point of INT.",IF(P3="Orgron","Although slow-witted, Ogron minds are hard to penetrate. They gain a +4 bonus to MENTAL DEFENSE.",IF(P3="Felan","Felans are fast and nimble, adding 2 to their SPEED.",IF(P3="Spartan","Spartans can enter a berserker rage by tasting their own blood when they are below half HEALTH. This grants them a +1d6 bonus to all attack rolls. The rage only ends when all foes are dead, or the Spartan is rendered unconscious or restored to above half "&amp;"HEALTH.",IF(P3="Android","Androids are immune to any attacks which target MENTAL DEFENSE.",IF(P3="Venetian","A society which integrates psionics from childhood, Venetians start play with one free psionic exploit.","Attribute")))))))</f>
        <v>Attribute</v>
      </c>
      <c r="AP174" s="174"/>
      <c r="AQ174" s="174"/>
      <c r="AR174" s="217"/>
      <c r="AS174" s="218"/>
    </row>
    <row r="175">
      <c r="A175" s="285"/>
      <c r="B175" s="338">
        <v>0.0</v>
      </c>
      <c r="C175" s="338"/>
      <c r="D175" s="338" t="s">
        <v>24</v>
      </c>
      <c r="E175" s="338" t="s">
        <v>25</v>
      </c>
      <c r="F175" s="338"/>
      <c r="G175" s="338"/>
      <c r="H175" s="338" t="s">
        <v>26</v>
      </c>
      <c r="I175" s="338"/>
      <c r="J175" s="338" t="s">
        <v>26</v>
      </c>
      <c r="K175" s="421"/>
      <c r="L175" s="421" t="s">
        <v>26</v>
      </c>
      <c r="M175" s="421"/>
      <c r="N175" s="172" t="s">
        <v>26</v>
      </c>
      <c r="O175" s="172"/>
      <c r="P175" s="175" t="s">
        <v>26</v>
      </c>
      <c r="Q175" s="175" t="s">
        <v>26</v>
      </c>
      <c r="R175" s="424" t="s">
        <v>26</v>
      </c>
      <c r="S175" s="424"/>
      <c r="T175" s="175">
        <f t="shared" si="41"/>
        <v>0</v>
      </c>
      <c r="U175" s="175">
        <f t="shared" si="42"/>
        <v>0</v>
      </c>
      <c r="V175" s="175">
        <f t="shared" si="43"/>
        <v>0</v>
      </c>
      <c r="W175" s="421"/>
      <c r="X175" s="421"/>
      <c r="Y175" s="421"/>
      <c r="Z175" s="421"/>
      <c r="AA175" s="429"/>
      <c r="AB175" s="223">
        <f>IF(ISBLANK('Weapons &amp; Gear'!O29),'Weapons &amp; Gear'!T29,'Weapons &amp; Gear'!T29*'Weapons &amp; Gear'!O29)</f>
        <v>0</v>
      </c>
      <c r="AC175" s="174"/>
      <c r="AD175" s="174"/>
      <c r="AE175" s="361"/>
      <c r="AF175" s="361"/>
      <c r="AG175" s="174"/>
      <c r="AH175" s="361">
        <v>-28.0</v>
      </c>
      <c r="AI175" s="361">
        <v>-7.0</v>
      </c>
      <c r="AJ175" s="174"/>
      <c r="AK175" s="174"/>
      <c r="AL175" s="174"/>
      <c r="AM175" s="174"/>
      <c r="AN175" s="174" t="str">
        <f>IF(P3="Human","Explorers",IF(P3="Borian","Iron constitution",IF(P3="Orgron","Smelly",IF(P3="Felan","Jumper",IF(P3="Spartan","Redundant organs",IF(P3="Android","Deterministic",IF(P3="Venetian","Acute hearing","Attribute")))))))</f>
        <v>Attribute</v>
      </c>
      <c r="AO175" s="174" t="str">
        <f>IF(P3="Human","Driven by an inquisitive, exploratory nature, Humans gain a number of XP equal to their grade every time they set foot on a planet new to them.",IF(P3="Borian","Borians are not affected by poisons, including alcohol.",IF(P3="Orgron"," No matter what they do, Ogrons smell bad. They take a permanent -1d6 penalty to any attempts at stealth.",IF(P3="Felan","Felans are adept at jumping, adding 5’ to both horizontal and vertical jump distances.",IF(P3="Spartan","Spartans have a number of redundant organs and heal fairly rapidly. They can spend five minutes to heal 2d6 HEALTH once per day.",IF(P3="Android","An Androids’s PSI or LUCK attributes can never rise above zero.",IF(P3="Venetian","Venetians have excellent hearing, and gain a +1d6 bonus to INT checks when sound is relevant.","Attribute")))))))</f>
        <v>Attribute</v>
      </c>
      <c r="AP175" s="174"/>
      <c r="AQ175" s="174"/>
      <c r="AR175" s="217"/>
      <c r="AS175" s="218"/>
    </row>
    <row r="176">
      <c r="A176" s="285"/>
      <c r="B176" s="338">
        <v>0.0</v>
      </c>
      <c r="C176" s="338"/>
      <c r="D176" s="338" t="s">
        <v>24</v>
      </c>
      <c r="E176" s="338" t="s">
        <v>25</v>
      </c>
      <c r="F176" s="338"/>
      <c r="G176" s="338"/>
      <c r="H176" s="338" t="s">
        <v>26</v>
      </c>
      <c r="I176" s="338"/>
      <c r="J176" s="338" t="s">
        <v>26</v>
      </c>
      <c r="K176" s="421"/>
      <c r="L176" s="421" t="s">
        <v>26</v>
      </c>
      <c r="M176" s="421"/>
      <c r="N176" s="172" t="s">
        <v>26</v>
      </c>
      <c r="O176" s="172"/>
      <c r="P176" s="175" t="s">
        <v>26</v>
      </c>
      <c r="Q176" s="175" t="s">
        <v>26</v>
      </c>
      <c r="R176" s="424" t="s">
        <v>26</v>
      </c>
      <c r="S176" s="424"/>
      <c r="T176" s="175">
        <f t="shared" si="41"/>
        <v>0</v>
      </c>
      <c r="U176" s="175">
        <f t="shared" si="42"/>
        <v>0</v>
      </c>
      <c r="V176" s="175">
        <f t="shared" si="43"/>
        <v>0</v>
      </c>
      <c r="W176" s="421"/>
      <c r="X176" s="421"/>
      <c r="Y176" s="421"/>
      <c r="Z176" s="421"/>
      <c r="AA176" s="429"/>
      <c r="AB176" s="223">
        <f>IF(ISBLANK('Weapons &amp; Gear'!O30),'Weapons &amp; Gear'!T30,'Weapons &amp; Gear'!T30*'Weapons &amp; Gear'!O30)</f>
        <v>0</v>
      </c>
      <c r="AC176" s="174"/>
      <c r="AD176" s="174"/>
      <c r="AE176" s="361"/>
      <c r="AF176" s="361"/>
      <c r="AG176" s="174"/>
      <c r="AH176" s="361">
        <v>-21.0</v>
      </c>
      <c r="AI176" s="361">
        <v>-6.0</v>
      </c>
      <c r="AJ176" s="174"/>
      <c r="AK176" s="174"/>
      <c r="AL176" s="174"/>
      <c r="AM176" s="174"/>
      <c r="AN176" s="174" t="str">
        <f>IF(P3="Human","",IF(P3="Borian","Tinkerers",IF(E5="Orgron","Brawny",IF(P3="Felan","Land on your feet",IF(P3="Spartan","Warlike",IF(P3="Android","Electronic vulnerability",IF(P3="Venetian","Learned","Attribute")))))))</f>
        <v>Attribute</v>
      </c>
      <c r="AO176" s="174" t="str">
        <f>IF(P3="Human","",IF(P3="Borian","Borians may designate one item of equipment which they own. That item permanently gains one bonus quality level. If the item is lost or destroyed, the Borian may designate a new item after 24 hours.",IF(P3="Orgron","Ogrons increase their carrying capacity by 50%.",IF(P3="Felan","When falling, a Felan reduces the effective distance by 10’.",IF(P3="Spartan","Spartans gain one bonus [combat] skill.",IF(P3="Android","As mechanoids, Androids are vulnerable (1d6) to electricity damage, and vulnerable (2d6) to ion damage.",IF(P3="Venetian","Venetians start with four species skills rather than three. The bonus (fourth) skill must be a [scientific] skill.","Attribute")))))))</f>
        <v>Attribute</v>
      </c>
      <c r="AP176" s="174"/>
      <c r="AQ176" s="174"/>
      <c r="AR176" s="217"/>
      <c r="AS176" s="218"/>
    </row>
    <row r="177">
      <c r="A177" s="285"/>
      <c r="B177" s="438" t="s">
        <v>2</v>
      </c>
      <c r="C177" s="439" t="s">
        <v>3</v>
      </c>
      <c r="D177" s="439" t="s">
        <v>4</v>
      </c>
      <c r="E177" s="439" t="s">
        <v>6</v>
      </c>
      <c r="F177" s="439" t="s">
        <v>7</v>
      </c>
      <c r="G177" s="439" t="s">
        <v>11</v>
      </c>
      <c r="H177" s="439" t="s">
        <v>639</v>
      </c>
      <c r="I177" s="439" t="s">
        <v>11</v>
      </c>
      <c r="J177" s="439" t="s">
        <v>45</v>
      </c>
      <c r="K177" s="173"/>
      <c r="L177" s="173"/>
      <c r="M177" s="173"/>
      <c r="N177" s="439" t="s">
        <v>19</v>
      </c>
      <c r="O177" s="439" t="s">
        <v>14</v>
      </c>
      <c r="P177" s="440" t="s">
        <v>640</v>
      </c>
      <c r="Q177" s="424"/>
      <c r="R177" s="424"/>
      <c r="S177" s="424"/>
      <c r="T177" s="175">
        <f t="shared" si="41"/>
        <v>0</v>
      </c>
      <c r="U177" s="175">
        <f t="shared" si="42"/>
        <v>0</v>
      </c>
      <c r="V177" s="175">
        <f t="shared" si="43"/>
        <v>0</v>
      </c>
      <c r="W177" s="421"/>
      <c r="X177" s="421"/>
      <c r="Y177" s="421"/>
      <c r="Z177" s="421"/>
      <c r="AA177" s="429"/>
      <c r="AB177" s="223">
        <f>IF(ISBLANK('Weapons &amp; Gear'!O31),'Weapons &amp; Gear'!T31,'Weapons &amp; Gear'!T31*'Weapons &amp; Gear'!O31)</f>
        <v>0</v>
      </c>
      <c r="AC177" s="174"/>
      <c r="AD177" s="174"/>
      <c r="AE177" s="361"/>
      <c r="AF177" s="361"/>
      <c r="AG177" s="174"/>
      <c r="AH177" s="361">
        <v>-15.0</v>
      </c>
      <c r="AI177" s="361">
        <v>-5.0</v>
      </c>
      <c r="AJ177" s="174"/>
      <c r="AK177" s="174"/>
      <c r="AL177" s="174"/>
      <c r="AM177" s="174"/>
      <c r="AN177" s="174" t="str">
        <f>IF(P3="Human","",IF(P3="Borian","",IF(P3="Orgron","Stronger with age",IF(P3="Felan","Claws",IF(P3="Spartan","",IF(P3="Android","Automaton",IF(P3="Venetian","Disciplined","Attribute")))))))</f>
        <v>Attribute</v>
      </c>
      <c r="AO177" s="174" t="str">
        <f>IF(P3="Human","",IF(P3="Borian","",IF(P3="Orgron","Unlike most species, Ogrons can continue to increase their STR attribute into old age. Ancient Ogrons are often incredibly strong.",IF(P3="Felan","Accurately slashing with their sharp claws, Felans do 2d6 unarmed damage.",IF(P3="Spartan","",IF(P3="Android","Androids do not need to eat, sleep, or breathe, and weigh 150% normal.",IF(P3="Venetian","Immune to the weary condition, and other tiredness conditions affect them as though they were one category less as long as they get 8 hours sleep per week. This is not a preferred situation, however.","Attribute")))))))</f>
        <v>Attribute</v>
      </c>
      <c r="AP177" s="174"/>
      <c r="AQ177" s="174"/>
      <c r="AR177" s="217"/>
      <c r="AS177" s="218"/>
    </row>
    <row r="178">
      <c r="A178" s="285"/>
      <c r="B178" s="441" t="str">
        <f t="shared" ref="B178:J178" si="50">IFERROR(__xludf.DUMMYFUNCTION("IF(ISNA(FILTER(#REF!,#REF!&lt;&gt;"""")),"""",FILTER(#REF!,#REF!&lt;&gt;""""))"),"")</f>
        <v/>
      </c>
      <c r="C178" s="441" t="str">
        <f t="shared" si="50"/>
        <v/>
      </c>
      <c r="D178" s="441" t="str">
        <f t="shared" si="50"/>
        <v/>
      </c>
      <c r="E178" s="441" t="str">
        <f t="shared" si="50"/>
        <v/>
      </c>
      <c r="F178" s="441" t="str">
        <f t="shared" si="50"/>
        <v/>
      </c>
      <c r="G178" s="441" t="str">
        <f t="shared" si="50"/>
        <v/>
      </c>
      <c r="H178" s="441" t="str">
        <f t="shared" si="50"/>
        <v/>
      </c>
      <c r="I178" s="441" t="str">
        <f t="shared" si="50"/>
        <v/>
      </c>
      <c r="J178" s="441" t="str">
        <f t="shared" si="50"/>
        <v/>
      </c>
      <c r="K178" s="173"/>
      <c r="L178" s="173"/>
      <c r="M178" s="173"/>
      <c r="N178" s="441" t="str">
        <f t="shared" ref="N178:P178" si="51">IFERROR(__xludf.DUMMYFUNCTION("IF(ISNA(FILTER(#REF!,#REF!&lt;&gt;"""")),"""",FILTER(#REF!,#REF!&lt;&gt;""""))"),"")</f>
        <v/>
      </c>
      <c r="O178" s="441" t="str">
        <f t="shared" si="51"/>
        <v/>
      </c>
      <c r="P178" s="424" t="str">
        <f t="shared" si="51"/>
        <v/>
      </c>
      <c r="Q178" s="424"/>
      <c r="R178" s="424"/>
      <c r="S178" s="424"/>
      <c r="T178" s="175">
        <f t="shared" si="41"/>
        <v>0</v>
      </c>
      <c r="U178" s="175">
        <f t="shared" si="42"/>
        <v>0</v>
      </c>
      <c r="V178" s="175">
        <f t="shared" si="43"/>
        <v>0</v>
      </c>
      <c r="W178" s="421"/>
      <c r="X178" s="421"/>
      <c r="Y178" s="421"/>
      <c r="Z178" s="421"/>
      <c r="AA178" s="429"/>
      <c r="AB178" s="223">
        <f>IF(ISBLANK('Weapons &amp; Gear'!O32),'Weapons &amp; Gear'!T32,'Weapons &amp; Gear'!T32*'Weapons &amp; Gear'!O32)</f>
        <v>0</v>
      </c>
      <c r="AC178" s="174"/>
      <c r="AD178" s="174"/>
      <c r="AE178" s="361"/>
      <c r="AF178" s="361"/>
      <c r="AG178" s="174"/>
      <c r="AH178" s="361">
        <v>-10.0</v>
      </c>
      <c r="AI178" s="361">
        <v>-4.0</v>
      </c>
      <c r="AJ178" s="174"/>
      <c r="AK178" s="174"/>
      <c r="AL178" s="174"/>
      <c r="AM178" s="174"/>
      <c r="AN178" s="174"/>
      <c r="AO178" s="174"/>
      <c r="AP178" s="174"/>
      <c r="AQ178" s="174"/>
      <c r="AR178" s="217"/>
      <c r="AS178" s="218"/>
    </row>
    <row r="179">
      <c r="A179" s="285"/>
      <c r="B179" s="441"/>
      <c r="C179" s="441"/>
      <c r="D179" s="441"/>
      <c r="E179" s="441"/>
      <c r="F179" s="441"/>
      <c r="G179" s="441"/>
      <c r="H179" s="441"/>
      <c r="I179" s="441"/>
      <c r="J179" s="441"/>
      <c r="K179" s="441"/>
      <c r="L179" s="441"/>
      <c r="M179" s="441"/>
      <c r="N179" s="441"/>
      <c r="O179" s="441"/>
      <c r="P179" s="424"/>
      <c r="Q179" s="424"/>
      <c r="R179" s="424"/>
      <c r="S179" s="424"/>
      <c r="T179" s="175">
        <f t="shared" si="41"/>
        <v>0</v>
      </c>
      <c r="U179" s="175">
        <f t="shared" si="42"/>
        <v>0</v>
      </c>
      <c r="V179" s="175">
        <f t="shared" si="43"/>
        <v>0</v>
      </c>
      <c r="W179" s="421"/>
      <c r="X179" s="421"/>
      <c r="Y179" s="421"/>
      <c r="Z179" s="421"/>
      <c r="AA179" s="429"/>
      <c r="AB179" s="223">
        <f>IF(ISBLANK('Weapons &amp; Gear'!O33),'Weapons &amp; Gear'!T33,'Weapons &amp; Gear'!T33*'Weapons &amp; Gear'!O33)</f>
        <v>0</v>
      </c>
      <c r="AC179" s="174"/>
      <c r="AD179" s="174"/>
      <c r="AE179" s="361"/>
      <c r="AF179" s="361"/>
      <c r="AG179" s="174"/>
      <c r="AH179" s="361">
        <v>-6.0</v>
      </c>
      <c r="AI179" s="361">
        <v>-3.0</v>
      </c>
      <c r="AJ179" s="174"/>
      <c r="AK179" s="174"/>
      <c r="AL179" s="174"/>
      <c r="AM179" s="174"/>
      <c r="AN179" s="174"/>
      <c r="AO179" s="174"/>
      <c r="AP179" s="174"/>
      <c r="AQ179" s="174"/>
      <c r="AR179" s="217"/>
      <c r="AS179" s="218"/>
    </row>
    <row r="180">
      <c r="A180" s="285"/>
      <c r="B180" s="441"/>
      <c r="C180" s="441"/>
      <c r="D180" s="441"/>
      <c r="E180" s="441"/>
      <c r="F180" s="441"/>
      <c r="G180" s="441"/>
      <c r="H180" s="441"/>
      <c r="I180" s="441"/>
      <c r="J180" s="441"/>
      <c r="K180" s="441"/>
      <c r="L180" s="441"/>
      <c r="M180" s="441"/>
      <c r="N180" s="441"/>
      <c r="O180" s="441"/>
      <c r="P180" s="424"/>
      <c r="Q180" s="424"/>
      <c r="R180" s="424"/>
      <c r="S180" s="424"/>
      <c r="T180" s="175">
        <f t="shared" si="41"/>
        <v>0</v>
      </c>
      <c r="U180" s="175">
        <f t="shared" si="42"/>
        <v>0</v>
      </c>
      <c r="V180" s="175">
        <f t="shared" si="43"/>
        <v>0</v>
      </c>
      <c r="W180" s="421"/>
      <c r="X180" s="421"/>
      <c r="Y180" s="421"/>
      <c r="Z180" s="421"/>
      <c r="AA180" s="429"/>
      <c r="AB180" s="223">
        <f>IF(ISBLANK('Weapons &amp; Gear'!O34),'Weapons &amp; Gear'!T34,'Weapons &amp; Gear'!T34*'Weapons &amp; Gear'!O34)</f>
        <v>0</v>
      </c>
      <c r="AC180" s="174"/>
      <c r="AD180" s="174"/>
      <c r="AE180" s="174"/>
      <c r="AF180" s="361"/>
      <c r="AG180" s="174"/>
      <c r="AH180" s="361">
        <v>-3.0</v>
      </c>
      <c r="AI180" s="361">
        <v>-2.0</v>
      </c>
      <c r="AJ180" s="174"/>
      <c r="AK180" s="442">
        <v>0.0</v>
      </c>
      <c r="AL180" s="442">
        <v>0.0</v>
      </c>
      <c r="AM180" s="174"/>
      <c r="AN180" s="174"/>
      <c r="AO180" s="174"/>
      <c r="AP180" s="174"/>
      <c r="AQ180" s="174"/>
      <c r="AR180" s="217"/>
      <c r="AS180" s="218"/>
    </row>
    <row r="181">
      <c r="A181" s="285"/>
      <c r="B181" s="441"/>
      <c r="C181" s="441"/>
      <c r="D181" s="441"/>
      <c r="E181" s="441"/>
      <c r="F181" s="441"/>
      <c r="G181" s="441"/>
      <c r="H181" s="441"/>
      <c r="I181" s="441"/>
      <c r="J181" s="441"/>
      <c r="K181" s="441"/>
      <c r="L181" s="441"/>
      <c r="M181" s="441"/>
      <c r="N181" s="441"/>
      <c r="O181" s="441"/>
      <c r="P181" s="424"/>
      <c r="Q181" s="424"/>
      <c r="R181" s="424"/>
      <c r="S181" s="424"/>
      <c r="T181" s="175">
        <f t="shared" si="41"/>
        <v>0</v>
      </c>
      <c r="U181" s="175">
        <f t="shared" si="42"/>
        <v>0</v>
      </c>
      <c r="V181" s="175">
        <f t="shared" si="43"/>
        <v>0</v>
      </c>
      <c r="W181" s="421"/>
      <c r="X181" s="421"/>
      <c r="Y181" s="421"/>
      <c r="Z181" s="421"/>
      <c r="AA181" s="429"/>
      <c r="AB181" s="223">
        <f>IF(ISBLANK('Weapons &amp; Gear'!O35),'Weapons &amp; Gear'!T35,'Weapons &amp; Gear'!T35*'Weapons &amp; Gear'!O35)</f>
        <v>0</v>
      </c>
      <c r="AC181" s="174"/>
      <c r="AD181" s="174"/>
      <c r="AE181" s="174"/>
      <c r="AF181" s="361"/>
      <c r="AG181" s="174"/>
      <c r="AH181" s="361">
        <v>-1.0</v>
      </c>
      <c r="AI181" s="361">
        <v>-1.0</v>
      </c>
      <c r="AJ181" s="174"/>
      <c r="AK181" s="442">
        <v>2.0</v>
      </c>
      <c r="AL181" s="442">
        <v>-1.0</v>
      </c>
      <c r="AM181" s="174"/>
      <c r="AN181" s="174"/>
      <c r="AO181" s="174"/>
      <c r="AP181" s="174"/>
      <c r="AQ181" s="174"/>
      <c r="AR181" s="217"/>
      <c r="AS181" s="218"/>
    </row>
    <row r="182">
      <c r="A182" s="285"/>
      <c r="B182" s="441"/>
      <c r="C182" s="441"/>
      <c r="D182" s="441"/>
      <c r="E182" s="441"/>
      <c r="F182" s="441"/>
      <c r="G182" s="441"/>
      <c r="H182" s="441"/>
      <c r="I182" s="441"/>
      <c r="J182" s="441"/>
      <c r="K182" s="441"/>
      <c r="L182" s="441"/>
      <c r="M182" s="441"/>
      <c r="N182" s="441"/>
      <c r="O182" s="441"/>
      <c r="P182" s="424"/>
      <c r="Q182" s="424"/>
      <c r="R182" s="424"/>
      <c r="S182" s="424"/>
      <c r="T182" s="175">
        <f t="shared" si="41"/>
        <v>0</v>
      </c>
      <c r="U182" s="175">
        <f t="shared" si="42"/>
        <v>0</v>
      </c>
      <c r="V182" s="175">
        <f t="shared" si="43"/>
        <v>0</v>
      </c>
      <c r="W182" s="421"/>
      <c r="X182" s="421"/>
      <c r="Y182" s="421"/>
      <c r="Z182" s="421"/>
      <c r="AA182" s="429"/>
      <c r="AB182" s="223">
        <f>IF(ISBLANK('Weapons &amp; Gear'!O36),'Weapons &amp; Gear'!T36,'Weapons &amp; Gear'!T36*'Weapons &amp; Gear'!O36)</f>
        <v>0</v>
      </c>
      <c r="AC182" s="174"/>
      <c r="AD182" s="174"/>
      <c r="AE182" s="174"/>
      <c r="AF182" s="361"/>
      <c r="AG182" s="174"/>
      <c r="AH182" s="361">
        <v>0.0</v>
      </c>
      <c r="AI182" s="361">
        <v>0.0</v>
      </c>
      <c r="AJ182" s="174"/>
      <c r="AK182" s="442">
        <v>4.0</v>
      </c>
      <c r="AL182" s="442">
        <v>-2.0</v>
      </c>
      <c r="AM182" s="174"/>
      <c r="AN182" s="174"/>
      <c r="AO182" s="174"/>
      <c r="AP182" s="174"/>
      <c r="AQ182" s="174"/>
      <c r="AR182" s="217"/>
      <c r="AS182" s="218"/>
    </row>
    <row r="183">
      <c r="A183" s="285"/>
      <c r="B183" s="441"/>
      <c r="C183" s="441"/>
      <c r="D183" s="441"/>
      <c r="E183" s="441"/>
      <c r="F183" s="441"/>
      <c r="G183" s="441"/>
      <c r="H183" s="441"/>
      <c r="I183" s="441"/>
      <c r="J183" s="441"/>
      <c r="K183" s="441"/>
      <c r="L183" s="441"/>
      <c r="M183" s="441"/>
      <c r="N183" s="441"/>
      <c r="O183" s="441"/>
      <c r="P183" s="424"/>
      <c r="Q183" s="424"/>
      <c r="R183" s="424"/>
      <c r="S183" s="424"/>
      <c r="T183" s="175">
        <f t="shared" si="41"/>
        <v>0</v>
      </c>
      <c r="U183" s="175">
        <f t="shared" si="42"/>
        <v>0</v>
      </c>
      <c r="V183" s="175">
        <f t="shared" si="43"/>
        <v>0</v>
      </c>
      <c r="W183" s="421"/>
      <c r="X183" s="421"/>
      <c r="Y183" s="421"/>
      <c r="Z183" s="421"/>
      <c r="AA183" s="429"/>
      <c r="AB183" s="223">
        <f>IF(ISBLANK('Weapons &amp; Gear'!O37),'Weapons &amp; Gear'!T37,'Weapons &amp; Gear'!T37*'Weapons &amp; Gear'!O37)</f>
        <v>0</v>
      </c>
      <c r="AC183" s="174"/>
      <c r="AD183" s="174"/>
      <c r="AE183" s="174"/>
      <c r="AF183" s="361"/>
      <c r="AG183" s="174"/>
      <c r="AH183" s="361">
        <v>1.0</v>
      </c>
      <c r="AI183" s="361">
        <v>1.0</v>
      </c>
      <c r="AJ183" s="174"/>
      <c r="AK183" s="442">
        <v>6.0</v>
      </c>
      <c r="AL183" s="442">
        <v>-3.0</v>
      </c>
      <c r="AM183" s="174"/>
      <c r="AN183" s="174"/>
      <c r="AO183" s="174"/>
      <c r="AP183" s="174"/>
      <c r="AQ183" s="174"/>
      <c r="AR183" s="217"/>
      <c r="AS183" s="218"/>
    </row>
    <row r="184">
      <c r="A184" s="285"/>
      <c r="B184" s="441"/>
      <c r="C184" s="441"/>
      <c r="D184" s="441"/>
      <c r="E184" s="441"/>
      <c r="F184" s="441"/>
      <c r="G184" s="441"/>
      <c r="H184" s="441"/>
      <c r="I184" s="441"/>
      <c r="J184" s="441"/>
      <c r="K184" s="441"/>
      <c r="L184" s="441"/>
      <c r="M184" s="441"/>
      <c r="N184" s="441"/>
      <c r="O184" s="441"/>
      <c r="P184" s="424"/>
      <c r="Q184" s="424"/>
      <c r="R184" s="424"/>
      <c r="S184" s="424"/>
      <c r="T184" s="175">
        <f t="shared" si="41"/>
        <v>0</v>
      </c>
      <c r="U184" s="175">
        <f t="shared" si="42"/>
        <v>0</v>
      </c>
      <c r="V184" s="175">
        <f t="shared" si="43"/>
        <v>0</v>
      </c>
      <c r="W184" s="421"/>
      <c r="X184" s="421"/>
      <c r="Y184" s="421"/>
      <c r="Z184" s="421"/>
      <c r="AA184" s="429"/>
      <c r="AB184" s="223">
        <f>IF(ISBLANK('Weapons &amp; Gear'!O38),'Weapons &amp; Gear'!T38,'Weapons &amp; Gear'!T38*'Weapons &amp; Gear'!O38)</f>
        <v>0</v>
      </c>
      <c r="AC184" s="174"/>
      <c r="AD184" s="174"/>
      <c r="AE184" s="174"/>
      <c r="AF184" s="361"/>
      <c r="AG184" s="174"/>
      <c r="AH184" s="361">
        <v>3.0</v>
      </c>
      <c r="AI184" s="361">
        <v>2.0</v>
      </c>
      <c r="AJ184" s="174"/>
      <c r="AK184" s="442">
        <v>8.0</v>
      </c>
      <c r="AL184" s="442">
        <v>-4.0</v>
      </c>
      <c r="AM184" s="174"/>
      <c r="AN184" s="174"/>
      <c r="AO184" s="174"/>
      <c r="AP184" s="174"/>
      <c r="AQ184" s="174"/>
      <c r="AR184" s="217"/>
      <c r="AS184" s="218"/>
    </row>
    <row r="185">
      <c r="A185" s="285"/>
      <c r="B185" s="443" t="s">
        <v>2</v>
      </c>
      <c r="C185" s="444" t="s">
        <v>120</v>
      </c>
      <c r="D185" s="440" t="s">
        <v>4</v>
      </c>
      <c r="E185" s="440" t="s">
        <v>6</v>
      </c>
      <c r="F185" s="440" t="s">
        <v>45</v>
      </c>
      <c r="G185" s="440" t="s">
        <v>9</v>
      </c>
      <c r="H185" s="424"/>
      <c r="I185" s="424"/>
      <c r="J185" s="424"/>
      <c r="K185" s="424"/>
      <c r="L185" s="440" t="s">
        <v>19</v>
      </c>
      <c r="M185" s="440" t="s">
        <v>14</v>
      </c>
      <c r="N185" s="440" t="s">
        <v>7</v>
      </c>
      <c r="O185" s="445" t="s">
        <v>641</v>
      </c>
      <c r="P185" s="424"/>
      <c r="Q185" s="424"/>
      <c r="R185" s="424"/>
      <c r="S185" s="424"/>
      <c r="T185" s="175">
        <f t="shared" si="41"/>
        <v>0</v>
      </c>
      <c r="U185" s="175">
        <f t="shared" si="42"/>
        <v>0</v>
      </c>
      <c r="V185" s="175">
        <f t="shared" si="43"/>
        <v>0</v>
      </c>
      <c r="W185" s="421"/>
      <c r="X185" s="421"/>
      <c r="Y185" s="421"/>
      <c r="Z185" s="421"/>
      <c r="AA185" s="429"/>
      <c r="AB185" s="223">
        <f>IF(ISBLANK('Weapons &amp; Gear'!O39),'Weapons &amp; Gear'!T39,'Weapons &amp; Gear'!T39*'Weapons &amp; Gear'!O39)</f>
        <v>0</v>
      </c>
      <c r="AC185" s="174"/>
      <c r="AD185" s="174"/>
      <c r="AE185" s="174"/>
      <c r="AF185" s="361"/>
      <c r="AG185" s="174"/>
      <c r="AH185" s="361">
        <v>6.0</v>
      </c>
      <c r="AI185" s="361">
        <v>3.0</v>
      </c>
      <c r="AJ185" s="174"/>
      <c r="AK185" s="442">
        <v>10.0</v>
      </c>
      <c r="AL185" s="442">
        <v>-5.0</v>
      </c>
      <c r="AM185" s="174"/>
      <c r="AN185" s="174"/>
      <c r="AO185" s="174"/>
      <c r="AP185" s="174"/>
      <c r="AQ185" s="174"/>
      <c r="AR185" s="217"/>
      <c r="AS185" s="218"/>
    </row>
    <row r="186">
      <c r="A186" s="285"/>
      <c r="B186" s="359">
        <f>IFERROR(__xludf.DUMMYFUNCTION("IF(ISNA(FILTER('Armour &amp; Shields'!B24:B37,'Armour &amp; Shields'!B24:B37&lt;&gt;"""")),"""",FILTER('Armour &amp; Shields'!B24:B37,'Armour &amp; Shields'!B24:B37&lt;&gt;""""))"),"0")</f>
        <v>0</v>
      </c>
      <c r="C186" s="359" t="str">
        <f>IFERROR(__xludf.DUMMYFUNCTION("IF(ISNA(FILTER('Armour &amp; Shields'!C24:C37,'Armour &amp; Shields'!C24:C37&lt;&gt;"""")),"""",FILTER('Armour &amp; Shields'!C24:C37,'Armour &amp; Shields'!C24:C37&lt;&gt;""""))"),"")</f>
        <v/>
      </c>
      <c r="D186" s="359" t="str">
        <f>IFERROR(__xludf.DUMMYFUNCTION("IF(ISNA(FILTER('Armour &amp; Shields'!D24:D37,'Armour &amp; Shields'!D24:D37&lt;&gt;"""")),"""",FILTER('Armour &amp; Shields'!D24:D37,'Armour &amp; Shields'!D24:D37&lt;&gt;""""))"),"Standard")</f>
        <v>Standard</v>
      </c>
      <c r="E186" s="359" t="str">
        <f>IFERROR(__xludf.DUMMYFUNCTION("IF(ISNA(FILTER('Armour &amp; Shields'!E24:E37,'Armour &amp; Shields'!E24:E37&lt;&gt;"""")),"""",FILTER('Armour &amp; Shields'!E24:E37,'Armour &amp; Shields'!E24:E37&lt;&gt;""""))"),"Untrained")</f>
        <v>Untrained</v>
      </c>
      <c r="F186" s="359" t="str">
        <f>IFERROR(__xludf.DUMMYFUNCTION("IF(ISNA(FILTER('Armour &amp; Shields'!F24:F37,'Armour &amp; Shields'!F24:F37&lt;&gt;"""")),"""",FILTER('Armour &amp; Shields'!F24:F37,'Armour &amp; Shields'!F24:F37&lt;&gt;""""))"),"")</f>
        <v/>
      </c>
      <c r="G186" s="359" t="str">
        <f>IFERROR(__xludf.DUMMYFUNCTION("IF(ISNA(FILTER('Armour &amp; Shields'!G24:G37,'Armour &amp; Shields'!G24:G37&lt;&gt;"""")),"""",FILTER('Armour &amp; Shields'!G24:G37,'Armour &amp; Shields'!G24:G37&lt;&gt;""""))"),"")</f>
        <v/>
      </c>
      <c r="H186" s="424"/>
      <c r="I186" s="424"/>
      <c r="J186" s="424"/>
      <c r="K186" s="424"/>
      <c r="L186" s="359" t="str">
        <f>IFERROR(__xludf.DUMMYFUNCTION("IF(ISNA(FILTER('Armour &amp; Shields'!H24:H37,'Armour &amp; Shields'!H24:H37&lt;&gt;"""")),"""",FILTER('Armour &amp; Shields'!H24:H37,'Armour &amp; Shields'!H24:H37&lt;&gt;""""))"),"-")</f>
        <v>-</v>
      </c>
      <c r="M186" s="359" t="str">
        <f>IFERROR(__xludf.DUMMYFUNCTION("IF(ISNA(FILTER('Armour &amp; Shields'!I24:I37,'Armour &amp; Shields'!I24:I37&lt;&gt;"""")),"""",FILTER('Armour &amp; Shields'!I24:I37,'Armour &amp; Shields'!I24:I37&lt;&gt;""""))"),"")</f>
        <v/>
      </c>
      <c r="N186" s="359" t="str">
        <f>IFERROR(__xludf.DUMMYFUNCTION("IF(ISNA(FILTER('Armour &amp; Shields'!J24:J37,'Armour &amp; Shields'!J24:J37&lt;&gt;"""")),"""",FILTER('Armour &amp; Shields'!J24:J37,'Armour &amp; Shields'!J24:J37&lt;&gt;""""))"),"")</f>
        <v/>
      </c>
      <c r="O186" s="424"/>
      <c r="P186" s="424"/>
      <c r="Q186" s="424"/>
      <c r="R186" s="424"/>
      <c r="S186" s="424"/>
      <c r="T186" s="175">
        <f t="shared" si="41"/>
        <v>0</v>
      </c>
      <c r="U186" s="175">
        <f t="shared" si="42"/>
        <v>0</v>
      </c>
      <c r="V186" s="175">
        <f t="shared" si="43"/>
        <v>0</v>
      </c>
      <c r="W186" s="421"/>
      <c r="X186" s="421"/>
      <c r="Y186" s="421"/>
      <c r="Z186" s="421"/>
      <c r="AA186" s="429"/>
      <c r="AB186" s="223">
        <f>IF(ISBLANK('Weapons &amp; Gear'!O40),'Weapons &amp; Gear'!T40,'Weapons &amp; Gear'!T40*'Weapons &amp; Gear'!O40)</f>
        <v>0</v>
      </c>
      <c r="AC186" s="174"/>
      <c r="AD186" s="174"/>
      <c r="AE186" s="174"/>
      <c r="AF186" s="361"/>
      <c r="AG186" s="174"/>
      <c r="AH186" s="361">
        <v>10.0</v>
      </c>
      <c r="AI186" s="361">
        <v>4.0</v>
      </c>
      <c r="AJ186" s="174"/>
      <c r="AK186" s="442">
        <v>12.0</v>
      </c>
      <c r="AL186" s="442">
        <v>-6.0</v>
      </c>
      <c r="AM186" s="174"/>
      <c r="AN186" s="174"/>
      <c r="AO186" s="174"/>
      <c r="AP186" s="174"/>
      <c r="AQ186" s="174"/>
      <c r="AR186" s="217"/>
      <c r="AS186" s="218"/>
    </row>
    <row r="187">
      <c r="A187" s="285"/>
      <c r="B187" s="359">
        <v>0.0</v>
      </c>
      <c r="C187" s="424"/>
      <c r="D187" s="424" t="s">
        <v>24</v>
      </c>
      <c r="E187" s="424" t="s">
        <v>25</v>
      </c>
      <c r="F187" s="424"/>
      <c r="G187" s="424"/>
      <c r="H187" s="424"/>
      <c r="I187" s="424"/>
      <c r="J187" s="424"/>
      <c r="K187" s="424"/>
      <c r="L187" s="424" t="s">
        <v>26</v>
      </c>
      <c r="M187" s="424"/>
      <c r="N187" s="424"/>
      <c r="O187" s="424"/>
      <c r="P187" s="424"/>
      <c r="Q187" s="424"/>
      <c r="R187" s="424"/>
      <c r="S187" s="421"/>
      <c r="T187" s="175">
        <f t="shared" si="41"/>
        <v>0</v>
      </c>
      <c r="U187" s="175">
        <f t="shared" si="42"/>
        <v>0</v>
      </c>
      <c r="V187" s="175">
        <f t="shared" si="43"/>
        <v>0</v>
      </c>
      <c r="W187" s="421"/>
      <c r="X187" s="421"/>
      <c r="Y187" s="421"/>
      <c r="Z187" s="421"/>
      <c r="AA187" s="446" t="s">
        <v>642</v>
      </c>
      <c r="AB187" s="223">
        <f>IF(ISBLANK('Armour &amp; Shields'!B3),'Armour &amp; Shields'!P3,'Armour &amp; Shields'!P3*'Armour &amp; Shields'!B3)</f>
        <v>0</v>
      </c>
      <c r="AC187" s="174"/>
      <c r="AD187" s="174"/>
      <c r="AE187" s="174"/>
      <c r="AF187" s="361"/>
      <c r="AG187" s="174"/>
      <c r="AH187" s="361">
        <v>15.0</v>
      </c>
      <c r="AI187" s="361">
        <v>5.0</v>
      </c>
      <c r="AJ187" s="174"/>
      <c r="AK187" s="442">
        <v>14.0</v>
      </c>
      <c r="AL187" s="442">
        <v>-7.0</v>
      </c>
      <c r="AM187" s="174"/>
      <c r="AN187" s="174"/>
      <c r="AO187" s="174"/>
      <c r="AP187" s="174"/>
      <c r="AQ187" s="174"/>
      <c r="AR187" s="217"/>
      <c r="AS187" s="218"/>
    </row>
    <row r="188">
      <c r="A188" s="285"/>
      <c r="B188" s="359">
        <v>0.0</v>
      </c>
      <c r="C188" s="424"/>
      <c r="D188" s="424" t="s">
        <v>24</v>
      </c>
      <c r="E188" s="424" t="s">
        <v>25</v>
      </c>
      <c r="F188" s="424"/>
      <c r="G188" s="424"/>
      <c r="H188" s="424"/>
      <c r="I188" s="424"/>
      <c r="J188" s="424"/>
      <c r="K188" s="424"/>
      <c r="L188" s="424" t="s">
        <v>26</v>
      </c>
      <c r="M188" s="424"/>
      <c r="N188" s="424"/>
      <c r="O188" s="424"/>
      <c r="P188" s="424"/>
      <c r="Q188" s="424"/>
      <c r="R188" s="421"/>
      <c r="S188" s="421"/>
      <c r="T188" s="175">
        <f t="shared" si="41"/>
        <v>0</v>
      </c>
      <c r="U188" s="175">
        <f t="shared" si="42"/>
        <v>0</v>
      </c>
      <c r="V188" s="175">
        <f t="shared" si="43"/>
        <v>0</v>
      </c>
      <c r="W188" s="421"/>
      <c r="X188" s="421"/>
      <c r="Y188" s="421"/>
      <c r="Z188" s="421"/>
      <c r="AA188" s="429"/>
      <c r="AB188" s="223">
        <f>IF(ISBLANK('Armour &amp; Shields'!B4),'Armour &amp; Shields'!P4,'Armour &amp; Shields'!P4*'Armour &amp; Shields'!B4)</f>
        <v>0</v>
      </c>
      <c r="AC188" s="174"/>
      <c r="AD188" s="174"/>
      <c r="AE188" s="174"/>
      <c r="AF188" s="361"/>
      <c r="AG188" s="174"/>
      <c r="AH188" s="361">
        <v>21.0</v>
      </c>
      <c r="AI188" s="361">
        <v>6.0</v>
      </c>
      <c r="AJ188" s="174"/>
      <c r="AK188" s="442">
        <v>16.0</v>
      </c>
      <c r="AL188" s="442">
        <v>-8.0</v>
      </c>
      <c r="AM188" s="174"/>
      <c r="AN188" s="174"/>
      <c r="AO188" s="174"/>
      <c r="AP188" s="174"/>
      <c r="AQ188" s="174"/>
      <c r="AR188" s="217"/>
      <c r="AS188" s="218"/>
    </row>
    <row r="189">
      <c r="A189" s="285"/>
      <c r="B189" s="359">
        <v>0.0</v>
      </c>
      <c r="C189" s="424"/>
      <c r="D189" s="424" t="s">
        <v>24</v>
      </c>
      <c r="E189" s="424" t="s">
        <v>25</v>
      </c>
      <c r="F189" s="424"/>
      <c r="G189" s="424"/>
      <c r="H189" s="424"/>
      <c r="I189" s="424"/>
      <c r="J189" s="424"/>
      <c r="K189" s="424"/>
      <c r="L189" s="424" t="s">
        <v>26</v>
      </c>
      <c r="M189" s="424"/>
      <c r="N189" s="424"/>
      <c r="O189" s="424"/>
      <c r="P189" s="424"/>
      <c r="Q189" s="424"/>
      <c r="R189" s="421"/>
      <c r="S189" s="421"/>
      <c r="T189" s="175">
        <f t="shared" si="41"/>
        <v>0</v>
      </c>
      <c r="U189" s="175">
        <f t="shared" si="42"/>
        <v>0</v>
      </c>
      <c r="V189" s="175">
        <f t="shared" si="43"/>
        <v>0</v>
      </c>
      <c r="W189" s="421"/>
      <c r="X189" s="421"/>
      <c r="Y189" s="421"/>
      <c r="Z189" s="421"/>
      <c r="AA189" s="429"/>
      <c r="AB189" s="223">
        <f>IF(ISBLANK('Armour &amp; Shields'!B5),'Armour &amp; Shields'!P5,'Armour &amp; Shields'!P5*'Armour &amp; Shields'!B5)</f>
        <v>0</v>
      </c>
      <c r="AC189" s="174"/>
      <c r="AD189" s="174"/>
      <c r="AE189" s="174"/>
      <c r="AF189" s="361"/>
      <c r="AG189" s="174"/>
      <c r="AH189" s="361">
        <v>28.0</v>
      </c>
      <c r="AI189" s="361">
        <v>7.0</v>
      </c>
      <c r="AJ189" s="174"/>
      <c r="AK189" s="442">
        <v>18.0</v>
      </c>
      <c r="AL189" s="442">
        <v>-9.0</v>
      </c>
      <c r="AM189" s="174"/>
      <c r="AN189" s="174"/>
      <c r="AO189" s="174"/>
      <c r="AP189" s="174"/>
      <c r="AQ189" s="174"/>
      <c r="AR189" s="217"/>
      <c r="AS189" s="218"/>
    </row>
    <row r="190">
      <c r="A190" s="285"/>
      <c r="B190" s="359">
        <v>0.0</v>
      </c>
      <c r="C190" s="424"/>
      <c r="D190" s="424" t="s">
        <v>24</v>
      </c>
      <c r="E190" s="424" t="s">
        <v>25</v>
      </c>
      <c r="F190" s="424"/>
      <c r="G190" s="424"/>
      <c r="H190" s="424"/>
      <c r="I190" s="424"/>
      <c r="J190" s="424"/>
      <c r="K190" s="424"/>
      <c r="L190" s="424" t="s">
        <v>26</v>
      </c>
      <c r="M190" s="424"/>
      <c r="N190" s="424"/>
      <c r="O190" s="424"/>
      <c r="P190" s="424"/>
      <c r="Q190" s="424"/>
      <c r="R190" s="421"/>
      <c r="S190" s="421"/>
      <c r="T190" s="175">
        <f t="shared" si="41"/>
        <v>0</v>
      </c>
      <c r="U190" s="175">
        <f t="shared" si="42"/>
        <v>0</v>
      </c>
      <c r="V190" s="175">
        <f t="shared" si="43"/>
        <v>0</v>
      </c>
      <c r="W190" s="172"/>
      <c r="X190" s="174"/>
      <c r="Y190" s="174"/>
      <c r="Z190" s="174"/>
      <c r="AA190" s="429"/>
      <c r="AB190" s="223">
        <f>IF(ISBLANK('Armour &amp; Shields'!B6),'Armour &amp; Shields'!P6,'Armour &amp; Shields'!P6*'Armour &amp; Shields'!B6)</f>
        <v>0</v>
      </c>
      <c r="AC190" s="174"/>
      <c r="AD190" s="174"/>
      <c r="AE190" s="174"/>
      <c r="AF190" s="361"/>
      <c r="AG190" s="174"/>
      <c r="AH190" s="361">
        <v>36.0</v>
      </c>
      <c r="AI190" s="361">
        <v>8.0</v>
      </c>
      <c r="AJ190" s="174"/>
      <c r="AK190" s="442">
        <v>20.0</v>
      </c>
      <c r="AL190" s="442">
        <v>-10.0</v>
      </c>
      <c r="AM190" s="174"/>
      <c r="AN190" s="174"/>
      <c r="AO190" s="174"/>
      <c r="AP190" s="174"/>
      <c r="AQ190" s="174"/>
      <c r="AR190" s="217"/>
      <c r="AS190" s="218"/>
    </row>
    <row r="191">
      <c r="A191" s="447"/>
      <c r="B191" s="359">
        <v>0.0</v>
      </c>
      <c r="C191" s="424"/>
      <c r="D191" s="424" t="s">
        <v>24</v>
      </c>
      <c r="E191" s="424" t="s">
        <v>25</v>
      </c>
      <c r="F191" s="424"/>
      <c r="G191" s="424"/>
      <c r="H191" s="424"/>
      <c r="I191" s="424"/>
      <c r="J191" s="424"/>
      <c r="K191" s="424"/>
      <c r="L191" s="424" t="s">
        <v>26</v>
      </c>
      <c r="M191" s="424"/>
      <c r="N191" s="424"/>
      <c r="O191" s="424"/>
      <c r="P191" s="424"/>
      <c r="Q191" s="424"/>
      <c r="R191" s="421"/>
      <c r="S191" s="421"/>
      <c r="T191" s="175">
        <f t="shared" si="41"/>
        <v>0</v>
      </c>
      <c r="U191" s="175">
        <f t="shared" si="42"/>
        <v>0</v>
      </c>
      <c r="V191" s="175">
        <f t="shared" si="43"/>
        <v>0</v>
      </c>
      <c r="W191" s="172"/>
      <c r="X191" s="174"/>
      <c r="Y191" s="174"/>
      <c r="Z191" s="174"/>
      <c r="AA191" s="429"/>
      <c r="AB191" s="223">
        <f>IF(ISBLANK('Armour &amp; Shields'!B7),'Armour &amp; Shields'!P7,'Armour &amp; Shields'!P7*'Armour &amp; Shields'!B7)</f>
        <v>0</v>
      </c>
      <c r="AC191" s="174"/>
      <c r="AD191" s="174"/>
      <c r="AE191" s="174"/>
      <c r="AF191" s="361"/>
      <c r="AG191" s="174"/>
      <c r="AH191" s="361">
        <v>45.0</v>
      </c>
      <c r="AI191" s="361">
        <v>9.0</v>
      </c>
      <c r="AJ191" s="174"/>
      <c r="AK191" s="442">
        <v>22.0</v>
      </c>
      <c r="AL191" s="442">
        <v>-11.0</v>
      </c>
      <c r="AM191" s="174"/>
      <c r="AN191" s="174"/>
      <c r="AO191" s="174"/>
      <c r="AP191" s="174"/>
      <c r="AQ191" s="174"/>
      <c r="AR191" s="217"/>
      <c r="AS191" s="218"/>
    </row>
    <row r="192">
      <c r="A192" s="447"/>
      <c r="B192" s="359">
        <v>0.0</v>
      </c>
      <c r="C192" s="424"/>
      <c r="D192" s="424" t="s">
        <v>24</v>
      </c>
      <c r="E192" s="424" t="s">
        <v>25</v>
      </c>
      <c r="F192" s="424"/>
      <c r="G192" s="424"/>
      <c r="H192" s="424"/>
      <c r="I192" s="424"/>
      <c r="J192" s="424"/>
      <c r="K192" s="424"/>
      <c r="L192" s="424" t="s">
        <v>26</v>
      </c>
      <c r="M192" s="424"/>
      <c r="N192" s="424"/>
      <c r="O192" s="424"/>
      <c r="P192" s="424"/>
      <c r="Q192" s="424"/>
      <c r="R192" s="421"/>
      <c r="S192" s="172"/>
      <c r="T192" s="175">
        <f t="shared" si="41"/>
        <v>0</v>
      </c>
      <c r="U192" s="175">
        <f t="shared" si="42"/>
        <v>0</v>
      </c>
      <c r="V192" s="175">
        <f t="shared" si="43"/>
        <v>0</v>
      </c>
      <c r="W192" s="172"/>
      <c r="X192" s="174"/>
      <c r="Y192" s="174"/>
      <c r="Z192" s="174"/>
      <c r="AA192" s="429"/>
      <c r="AB192" s="223">
        <f>IF(ISBLANK('Armour &amp; Shields'!B8),'Armour &amp; Shields'!P8,'Armour &amp; Shields'!P8*'Armour &amp; Shields'!B8)</f>
        <v>0</v>
      </c>
      <c r="AC192" s="174"/>
      <c r="AD192" s="174"/>
      <c r="AE192" s="174"/>
      <c r="AF192" s="361"/>
      <c r="AG192" s="174"/>
      <c r="AH192" s="361">
        <v>55.0</v>
      </c>
      <c r="AI192" s="361">
        <v>10.0</v>
      </c>
      <c r="AJ192" s="174"/>
      <c r="AK192" s="442">
        <v>24.0</v>
      </c>
      <c r="AL192" s="442">
        <v>-12.0</v>
      </c>
      <c r="AM192" s="174"/>
      <c r="AN192" s="174"/>
      <c r="AO192" s="174"/>
      <c r="AP192" s="174"/>
      <c r="AQ192" s="174"/>
      <c r="AR192" s="217"/>
      <c r="AS192" s="218"/>
    </row>
    <row r="193">
      <c r="A193" s="447"/>
      <c r="B193" s="359">
        <v>0.0</v>
      </c>
      <c r="C193" s="359"/>
      <c r="D193" s="359" t="s">
        <v>24</v>
      </c>
      <c r="E193" s="359" t="s">
        <v>25</v>
      </c>
      <c r="F193" s="359"/>
      <c r="G193" s="359"/>
      <c r="H193" s="172"/>
      <c r="I193" s="172"/>
      <c r="J193" s="172"/>
      <c r="K193" s="172"/>
      <c r="L193" s="172" t="s">
        <v>26</v>
      </c>
      <c r="M193" s="172"/>
      <c r="N193" s="172"/>
      <c r="O193" s="421"/>
      <c r="P193" s="421"/>
      <c r="Q193" s="421"/>
      <c r="R193" s="172"/>
      <c r="S193" s="172"/>
      <c r="T193" s="175">
        <f t="shared" si="41"/>
        <v>0</v>
      </c>
      <c r="U193" s="175">
        <f t="shared" si="42"/>
        <v>0</v>
      </c>
      <c r="V193" s="175">
        <f t="shared" si="43"/>
        <v>0</v>
      </c>
      <c r="W193" s="172"/>
      <c r="X193" s="174"/>
      <c r="Y193" s="174"/>
      <c r="Z193" s="174"/>
      <c r="AA193" s="429"/>
      <c r="AB193" s="223">
        <f>IF(ISBLANK('Armour &amp; Shields'!B9),'Armour &amp; Shields'!P9,'Armour &amp; Shields'!P9*'Armour &amp; Shields'!B9)</f>
        <v>0</v>
      </c>
      <c r="AC193" s="174"/>
      <c r="AD193" s="174"/>
      <c r="AE193" s="174"/>
      <c r="AF193" s="173"/>
      <c r="AG193" s="174"/>
      <c r="AH193" s="361">
        <v>66.0</v>
      </c>
      <c r="AI193" s="361">
        <v>11.0</v>
      </c>
      <c r="AJ193" s="174"/>
      <c r="AK193" s="442">
        <v>26.0</v>
      </c>
      <c r="AL193" s="442">
        <v>-13.0</v>
      </c>
      <c r="AM193" s="174"/>
      <c r="AN193" s="174"/>
      <c r="AO193" s="174"/>
      <c r="AP193" s="174"/>
      <c r="AQ193" s="174"/>
      <c r="AR193" s="217"/>
      <c r="AS193" s="218"/>
    </row>
    <row r="194">
      <c r="A194" s="447"/>
      <c r="B194" s="359">
        <v>0.0</v>
      </c>
      <c r="C194" s="359"/>
      <c r="D194" s="359" t="s">
        <v>24</v>
      </c>
      <c r="E194" s="359" t="s">
        <v>25</v>
      </c>
      <c r="F194" s="359"/>
      <c r="G194" s="359"/>
      <c r="H194" s="172"/>
      <c r="I194" s="172"/>
      <c r="J194" s="172"/>
      <c r="K194" s="172"/>
      <c r="L194" s="172" t="s">
        <v>26</v>
      </c>
      <c r="M194" s="172"/>
      <c r="N194" s="172"/>
      <c r="O194" s="421"/>
      <c r="P194" s="421"/>
      <c r="Q194" s="421"/>
      <c r="R194" s="172"/>
      <c r="S194" s="172"/>
      <c r="T194" s="175">
        <f t="shared" si="41"/>
        <v>0</v>
      </c>
      <c r="U194" s="175">
        <f t="shared" si="42"/>
        <v>0</v>
      </c>
      <c r="V194" s="175">
        <f t="shared" si="43"/>
        <v>0</v>
      </c>
      <c r="W194" s="172"/>
      <c r="X194" s="174"/>
      <c r="Y194" s="174"/>
      <c r="Z194" s="174"/>
      <c r="AA194" s="429"/>
      <c r="AB194" s="223">
        <f>IF(ISBLANK('Armour &amp; Shields'!B10),'Armour &amp; Shields'!P10,'Armour &amp; Shields'!P10*'Armour &amp; Shields'!B10)</f>
        <v>0</v>
      </c>
      <c r="AC194" s="174"/>
      <c r="AD194" s="174"/>
      <c r="AE194" s="174"/>
      <c r="AF194" s="173"/>
      <c r="AG194" s="174"/>
      <c r="AH194" s="361">
        <v>78.0</v>
      </c>
      <c r="AI194" s="361">
        <v>12.0</v>
      </c>
      <c r="AJ194" s="174"/>
      <c r="AK194" s="442">
        <v>28.0</v>
      </c>
      <c r="AL194" s="442">
        <v>-14.0</v>
      </c>
      <c r="AM194" s="174"/>
      <c r="AN194" s="174"/>
      <c r="AO194" s="174"/>
      <c r="AP194" s="174"/>
      <c r="AQ194" s="174"/>
      <c r="AR194" s="217"/>
      <c r="AS194" s="218"/>
    </row>
    <row r="195">
      <c r="A195" s="447"/>
      <c r="B195" s="359">
        <v>0.0</v>
      </c>
      <c r="C195" s="359"/>
      <c r="D195" s="359" t="s">
        <v>24</v>
      </c>
      <c r="E195" s="359" t="s">
        <v>25</v>
      </c>
      <c r="F195" s="359"/>
      <c r="G195" s="359"/>
      <c r="H195" s="172"/>
      <c r="I195" s="172"/>
      <c r="J195" s="172"/>
      <c r="K195" s="172"/>
      <c r="L195" s="172" t="s">
        <v>26</v>
      </c>
      <c r="M195" s="172"/>
      <c r="N195" s="172"/>
      <c r="O195" s="421"/>
      <c r="P195" s="421"/>
      <c r="Q195" s="421"/>
      <c r="R195" s="172"/>
      <c r="S195" s="172"/>
      <c r="T195" s="175">
        <f t="shared" si="41"/>
        <v>0</v>
      </c>
      <c r="U195" s="175">
        <f t="shared" si="42"/>
        <v>0</v>
      </c>
      <c r="V195" s="175">
        <f t="shared" si="43"/>
        <v>0</v>
      </c>
      <c r="W195" s="172"/>
      <c r="X195" s="174"/>
      <c r="Y195" s="174"/>
      <c r="Z195" s="174"/>
      <c r="AA195" s="429"/>
      <c r="AB195" s="223">
        <f>IF(ISBLANK('Armour &amp; Shields'!B11),'Armour &amp; Shields'!P11,'Armour &amp; Shields'!P11*'Armour &amp; Shields'!B11)</f>
        <v>0</v>
      </c>
      <c r="AC195" s="174"/>
      <c r="AD195" s="174"/>
      <c r="AE195" s="174"/>
      <c r="AF195" s="173"/>
      <c r="AG195" s="174"/>
      <c r="AH195" s="361">
        <v>91.0</v>
      </c>
      <c r="AI195" s="361">
        <v>13.0</v>
      </c>
      <c r="AJ195" s="174"/>
      <c r="AK195" s="442">
        <v>30.0</v>
      </c>
      <c r="AL195" s="442">
        <v>-15.0</v>
      </c>
      <c r="AM195" s="174"/>
      <c r="AN195" s="174"/>
      <c r="AO195" s="174"/>
      <c r="AP195" s="174"/>
      <c r="AQ195" s="174"/>
      <c r="AR195" s="217"/>
      <c r="AS195" s="218"/>
    </row>
    <row r="196">
      <c r="A196" s="447"/>
      <c r="B196" s="359">
        <v>0.0</v>
      </c>
      <c r="C196" s="359"/>
      <c r="D196" s="359" t="s">
        <v>24</v>
      </c>
      <c r="E196" s="359" t="s">
        <v>25</v>
      </c>
      <c r="F196" s="359"/>
      <c r="G196" s="359"/>
      <c r="H196" s="172"/>
      <c r="I196" s="172"/>
      <c r="J196" s="172"/>
      <c r="K196" s="172"/>
      <c r="L196" s="172" t="s">
        <v>26</v>
      </c>
      <c r="M196" s="172"/>
      <c r="N196" s="172"/>
      <c r="O196" s="421"/>
      <c r="P196" s="421"/>
      <c r="Q196" s="421"/>
      <c r="R196" s="172"/>
      <c r="S196" s="172"/>
      <c r="T196" s="175">
        <f t="shared" si="41"/>
        <v>0</v>
      </c>
      <c r="U196" s="175">
        <f t="shared" si="42"/>
        <v>0</v>
      </c>
      <c r="V196" s="175">
        <f t="shared" si="43"/>
        <v>0</v>
      </c>
      <c r="W196" s="172"/>
      <c r="X196" s="174"/>
      <c r="Y196" s="174"/>
      <c r="Z196" s="174"/>
      <c r="AA196" s="429"/>
      <c r="AB196" s="223">
        <f>IF(ISBLANK('Armour &amp; Shields'!B12),'Armour &amp; Shields'!P12,'Armour &amp; Shields'!P12*'Armour &amp; Shields'!B12)</f>
        <v>0</v>
      </c>
      <c r="AC196" s="174"/>
      <c r="AD196" s="174"/>
      <c r="AE196" s="174"/>
      <c r="AF196" s="173"/>
      <c r="AG196" s="174"/>
      <c r="AH196" s="361">
        <v>105.0</v>
      </c>
      <c r="AI196" s="361">
        <v>14.0</v>
      </c>
      <c r="AJ196" s="174"/>
      <c r="AK196" s="174"/>
      <c r="AL196" s="174"/>
      <c r="AM196" s="174"/>
      <c r="AN196" s="174"/>
      <c r="AO196" s="174"/>
      <c r="AP196" s="174"/>
      <c r="AQ196" s="174"/>
      <c r="AR196" s="217"/>
      <c r="AS196" s="218"/>
    </row>
    <row r="197">
      <c r="A197" s="447"/>
      <c r="B197" s="359">
        <v>0.0</v>
      </c>
      <c r="C197" s="359"/>
      <c r="D197" s="359" t="s">
        <v>24</v>
      </c>
      <c r="E197" s="359" t="s">
        <v>25</v>
      </c>
      <c r="F197" s="359"/>
      <c r="G197" s="359"/>
      <c r="H197" s="172"/>
      <c r="I197" s="172"/>
      <c r="J197" s="172"/>
      <c r="K197" s="172"/>
      <c r="L197" s="172" t="s">
        <v>26</v>
      </c>
      <c r="M197" s="172"/>
      <c r="N197" s="172"/>
      <c r="O197" s="421"/>
      <c r="P197" s="421"/>
      <c r="Q197" s="421"/>
      <c r="R197" s="172"/>
      <c r="S197" s="172"/>
      <c r="T197" s="175">
        <f t="shared" si="41"/>
        <v>0</v>
      </c>
      <c r="U197" s="175">
        <f t="shared" si="42"/>
        <v>0</v>
      </c>
      <c r="V197" s="175">
        <f t="shared" si="43"/>
        <v>0</v>
      </c>
      <c r="W197" s="172"/>
      <c r="X197" s="174"/>
      <c r="Y197" s="174"/>
      <c r="Z197" s="174"/>
      <c r="AA197" s="429"/>
      <c r="AB197" s="223">
        <f>IF(ISBLANK('Armour &amp; Shields'!B13),'Armour &amp; Shields'!P13,'Armour &amp; Shields'!P13*'Armour &amp; Shields'!B13)</f>
        <v>0</v>
      </c>
      <c r="AC197" s="174"/>
      <c r="AD197" s="174"/>
      <c r="AE197" s="174"/>
      <c r="AF197" s="173"/>
      <c r="AG197" s="174"/>
      <c r="AH197" s="361">
        <v>120.0</v>
      </c>
      <c r="AI197" s="361">
        <v>15.0</v>
      </c>
      <c r="AJ197" s="174"/>
      <c r="AK197" s="174"/>
      <c r="AL197" s="174"/>
      <c r="AM197" s="174"/>
      <c r="AN197" s="174"/>
      <c r="AO197" s="174"/>
      <c r="AP197" s="174"/>
      <c r="AQ197" s="174"/>
      <c r="AR197" s="217"/>
      <c r="AS197" s="218"/>
    </row>
    <row r="198">
      <c r="A198" s="447"/>
      <c r="B198" s="359">
        <v>0.0</v>
      </c>
      <c r="C198" s="359"/>
      <c r="D198" s="359" t="s">
        <v>24</v>
      </c>
      <c r="E198" s="359" t="s">
        <v>25</v>
      </c>
      <c r="F198" s="359"/>
      <c r="G198" s="359"/>
      <c r="H198" s="172"/>
      <c r="I198" s="172"/>
      <c r="J198" s="172"/>
      <c r="K198" s="172"/>
      <c r="L198" s="172" t="s">
        <v>26</v>
      </c>
      <c r="M198" s="172"/>
      <c r="N198" s="172"/>
      <c r="O198" s="172"/>
      <c r="P198" s="172"/>
      <c r="Q198" s="172"/>
      <c r="R198" s="172"/>
      <c r="S198" s="172"/>
      <c r="T198" s="175">
        <f t="shared" si="41"/>
        <v>0</v>
      </c>
      <c r="U198" s="175">
        <f t="shared" si="42"/>
        <v>0</v>
      </c>
      <c r="V198" s="175">
        <f t="shared" si="43"/>
        <v>0</v>
      </c>
      <c r="W198" s="172"/>
      <c r="X198" s="174"/>
      <c r="Y198" s="174"/>
      <c r="Z198" s="174"/>
      <c r="AA198" s="429"/>
      <c r="AB198" s="223">
        <f>IF(ISBLANK('Armour &amp; Shields'!B14),'Armour &amp; Shields'!P14,'Armour &amp; Shields'!P14*'Armour &amp; Shields'!B14)</f>
        <v>0</v>
      </c>
      <c r="AC198" s="174"/>
      <c r="AD198" s="174"/>
      <c r="AE198" s="174"/>
      <c r="AF198" s="173"/>
      <c r="AG198" s="174"/>
      <c r="AH198" s="361">
        <v>136.0</v>
      </c>
      <c r="AI198" s="361">
        <v>16.0</v>
      </c>
      <c r="AJ198" s="174"/>
      <c r="AK198" s="174"/>
      <c r="AL198" s="174"/>
      <c r="AM198" s="174"/>
      <c r="AN198" s="174"/>
      <c r="AO198" s="174"/>
      <c r="AP198" s="174"/>
      <c r="AQ198" s="174"/>
      <c r="AR198" s="217"/>
      <c r="AS198" s="218"/>
    </row>
    <row r="199">
      <c r="A199" s="447"/>
      <c r="B199" s="359">
        <v>0.0</v>
      </c>
      <c r="C199" s="359"/>
      <c r="D199" s="359" t="s">
        <v>24</v>
      </c>
      <c r="E199" s="359" t="s">
        <v>25</v>
      </c>
      <c r="F199" s="359"/>
      <c r="G199" s="359"/>
      <c r="H199" s="172"/>
      <c r="I199" s="172"/>
      <c r="J199" s="172"/>
      <c r="K199" s="172"/>
      <c r="L199" s="172" t="s">
        <v>26</v>
      </c>
      <c r="M199" s="172"/>
      <c r="N199" s="172"/>
      <c r="O199" s="172"/>
      <c r="P199" s="172"/>
      <c r="Q199" s="172"/>
      <c r="R199" s="172"/>
      <c r="S199" s="172"/>
      <c r="T199" s="175">
        <f t="shared" si="41"/>
        <v>0</v>
      </c>
      <c r="U199" s="175">
        <f t="shared" si="42"/>
        <v>0</v>
      </c>
      <c r="V199" s="175">
        <f t="shared" si="43"/>
        <v>0</v>
      </c>
      <c r="W199" s="172"/>
      <c r="X199" s="174"/>
      <c r="Y199" s="174"/>
      <c r="Z199" s="174"/>
      <c r="AA199" s="429"/>
      <c r="AB199" s="223">
        <f>IF(ISBLANK('Armour &amp; Shields'!B15),'Armour &amp; Shields'!P15,'Armour &amp; Shields'!P15*'Armour &amp; Shields'!B15)</f>
        <v>0</v>
      </c>
      <c r="AC199" s="174"/>
      <c r="AD199" s="174"/>
      <c r="AE199" s="174"/>
      <c r="AF199" s="173"/>
      <c r="AG199" s="174"/>
      <c r="AH199" s="361">
        <v>153.0</v>
      </c>
      <c r="AI199" s="361">
        <v>17.0</v>
      </c>
      <c r="AJ199" s="174"/>
      <c r="AK199" s="174"/>
      <c r="AL199" s="174"/>
      <c r="AM199" s="174"/>
      <c r="AN199" s="174"/>
      <c r="AO199" s="174"/>
      <c r="AP199" s="174"/>
      <c r="AQ199" s="174"/>
      <c r="AR199" s="217"/>
      <c r="AS199" s="218"/>
    </row>
    <row r="200">
      <c r="A200" s="447"/>
      <c r="B200" s="443" t="s">
        <v>2</v>
      </c>
      <c r="C200" s="448" t="s">
        <v>120</v>
      </c>
      <c r="D200" s="443" t="s">
        <v>4</v>
      </c>
      <c r="E200" s="448" t="s">
        <v>6</v>
      </c>
      <c r="F200" s="443" t="s">
        <v>9</v>
      </c>
      <c r="G200" s="175" t="s">
        <v>14</v>
      </c>
      <c r="H200" s="175" t="s">
        <v>643</v>
      </c>
      <c r="I200" s="173"/>
      <c r="J200" s="172"/>
      <c r="K200" s="172"/>
      <c r="L200" s="433" t="s">
        <v>644</v>
      </c>
      <c r="M200" s="173"/>
      <c r="N200" s="173"/>
      <c r="O200" s="172"/>
      <c r="P200" s="172"/>
      <c r="Q200" s="172"/>
      <c r="R200" s="172"/>
      <c r="S200" s="172"/>
      <c r="T200" s="175">
        <f t="shared" si="41"/>
        <v>0</v>
      </c>
      <c r="U200" s="175">
        <f t="shared" si="42"/>
        <v>0</v>
      </c>
      <c r="V200" s="175">
        <f t="shared" si="43"/>
        <v>0</v>
      </c>
      <c r="W200" s="172"/>
      <c r="X200" s="174"/>
      <c r="Y200" s="174"/>
      <c r="Z200" s="174"/>
      <c r="AA200" s="429"/>
      <c r="AB200" s="223">
        <f>IF(ISBLANK('Armour &amp; Shields'!B16),'Armour &amp; Shields'!P16,'Armour &amp; Shields'!P16*'Armour &amp; Shields'!B16)</f>
        <v>0</v>
      </c>
      <c r="AC200" s="174"/>
      <c r="AD200" s="174"/>
      <c r="AE200" s="174"/>
      <c r="AF200" s="361"/>
      <c r="AG200" s="174"/>
      <c r="AH200" s="361">
        <v>171.0</v>
      </c>
      <c r="AI200" s="361">
        <v>18.0</v>
      </c>
      <c r="AJ200" s="174"/>
      <c r="AK200" s="174"/>
      <c r="AL200" s="174"/>
      <c r="AM200" s="174"/>
      <c r="AN200" s="174"/>
      <c r="AO200" s="174"/>
      <c r="AP200" s="174"/>
      <c r="AQ200" s="174"/>
      <c r="AR200" s="217"/>
      <c r="AS200" s="218"/>
    </row>
    <row r="201">
      <c r="A201" s="447"/>
      <c r="B201" s="359">
        <f>IFERROR(__xludf.DUMMYFUNCTION("IF(ISNA(FILTER('Armour &amp; Shields'!L24:L37,'Armour &amp; Shields'!L24:L37&lt;&gt;"""")),"""",FILTER('Armour &amp; Shields'!L24:L37,'Armour &amp; Shields'!L24:L37&lt;&gt;""""))"),"0")</f>
        <v>0</v>
      </c>
      <c r="C201" s="359" t="str">
        <f>IFERROR(__xludf.DUMMYFUNCTION("IF(ISNA(FILTER('Armour &amp; Shields'!M24:M37,'Armour &amp; Shields'!M24:M37&lt;&gt;"""")),"""",FILTER('Armour &amp; Shields'!M24:M37,'Armour &amp; Shields'!M24:M37&lt;&gt;""""))"),"")</f>
        <v/>
      </c>
      <c r="D201" s="359" t="str">
        <f>IFERROR(__xludf.DUMMYFUNCTION("IF(ISNA(FILTER('Armour &amp; Shields'!O24:O37,'Armour &amp; Shields'!O24:O37&lt;&gt;"""")),"""",FILTER('Armour &amp; Shields'!O24:O37,'Armour &amp; Shields'!O24:O37&lt;&gt;""""))"),"Standard")</f>
        <v>Standard</v>
      </c>
      <c r="E201" s="359" t="str">
        <f>IFERROR(__xludf.DUMMYFUNCTION("IF(ISNA(FILTER('Armour &amp; Shields'!R25:R37,'Armour &amp; Shields'!R25:R37&lt;&gt;"""")),"""",FILTER('Armour &amp; Shields'!R25:R37,'Armour &amp; Shields'!R25:R37&lt;&gt;""""))"),"")</f>
        <v/>
      </c>
      <c r="F201" s="359" t="str">
        <f>IFERROR(__xludf.DUMMYFUNCTION("IF(ISNA(FILTER('Armour &amp; Shields'!Q24:Q37,'Armour &amp; Shields'!Q24:Q37&lt;&gt;"""")),"""",FILTER('Armour &amp; Shields'!Q24:Q37,'Armour &amp; Shields'!Q24:Q37&lt;&gt;""""))"),"")</f>
        <v/>
      </c>
      <c r="G201" s="359" t="str">
        <f>IFERROR(__xludf.DUMMYFUNCTION("IF(ISNA(FILTER('Armour &amp; Shields'!P24:P37,'Armour &amp; Shields'!P24:P37&lt;&gt;"""")),"""",FILTER('Armour &amp; Shields'!P24:P37,'Armour &amp; Shields'!P24:P37&lt;&gt;""""))"),"")</f>
        <v/>
      </c>
      <c r="H201" s="359" t="str">
        <f>IFERROR(__xludf.DUMMYFUNCTION("IF(ISNA(FILTER('Armour &amp; Shields'!R24:R37,'Armour &amp; Shields'!R24:R37&lt;&gt;"""")),"""",FILTER('Armour &amp; Shields'!R24:R37,'Armour &amp; Shields'!R24:R37&lt;&gt;""""))"),"")</f>
        <v/>
      </c>
      <c r="I201" s="173"/>
      <c r="J201" s="359"/>
      <c r="K201" s="359"/>
      <c r="L201" s="359"/>
      <c r="M201" s="359"/>
      <c r="N201" s="173"/>
      <c r="O201" s="173"/>
      <c r="P201" s="172"/>
      <c r="Q201" s="172"/>
      <c r="R201" s="172"/>
      <c r="S201" s="172"/>
      <c r="T201" s="175">
        <f t="shared" si="41"/>
        <v>0</v>
      </c>
      <c r="U201" s="175">
        <f t="shared" si="42"/>
        <v>0</v>
      </c>
      <c r="V201" s="175">
        <f t="shared" si="43"/>
        <v>0</v>
      </c>
      <c r="W201" s="172"/>
      <c r="X201" s="174"/>
      <c r="Y201" s="174"/>
      <c r="Z201" s="174"/>
      <c r="AA201" s="429"/>
      <c r="AB201" s="223">
        <f>IF(ISBLANK('Armour &amp; Shields'!B17),'Armour &amp; Shields'!P17,'Armour &amp; Shields'!P17*'Armour &amp; Shields'!B17)</f>
        <v>0</v>
      </c>
      <c r="AC201" s="174"/>
      <c r="AD201" s="174"/>
      <c r="AE201" s="174"/>
      <c r="AF201" s="361"/>
      <c r="AG201" s="174"/>
      <c r="AH201" s="361">
        <v>190.0</v>
      </c>
      <c r="AI201" s="361">
        <v>19.0</v>
      </c>
      <c r="AJ201" s="174"/>
      <c r="AK201" s="174"/>
      <c r="AL201" s="174"/>
      <c r="AM201" s="174"/>
      <c r="AN201" s="174"/>
      <c r="AO201" s="174"/>
      <c r="AP201" s="174"/>
      <c r="AQ201" s="174"/>
      <c r="AR201" s="217"/>
      <c r="AS201" s="218"/>
    </row>
    <row r="202">
      <c r="A202" s="447"/>
      <c r="B202" s="359">
        <v>0.0</v>
      </c>
      <c r="C202" s="359"/>
      <c r="D202" s="359" t="s">
        <v>24</v>
      </c>
      <c r="E202" s="359"/>
      <c r="F202" s="359"/>
      <c r="G202" s="359"/>
      <c r="H202" s="172"/>
      <c r="I202" s="172"/>
      <c r="J202" s="172"/>
      <c r="K202" s="172"/>
      <c r="L202" s="172"/>
      <c r="M202" s="172"/>
      <c r="N202" s="172"/>
      <c r="O202" s="172"/>
      <c r="P202" s="172"/>
      <c r="Q202" s="172"/>
      <c r="R202" s="172"/>
      <c r="S202" s="172"/>
      <c r="T202" s="175">
        <f t="shared" si="41"/>
        <v>0</v>
      </c>
      <c r="U202" s="175">
        <f t="shared" si="42"/>
        <v>0</v>
      </c>
      <c r="V202" s="175">
        <f t="shared" si="43"/>
        <v>0</v>
      </c>
      <c r="W202" s="172"/>
      <c r="X202" s="174"/>
      <c r="Y202" s="174"/>
      <c r="Z202" s="174"/>
      <c r="AA202" s="429"/>
      <c r="AB202" s="223">
        <f>IF(ISBLANK('Armour &amp; Shields'!B18),'Armour &amp; Shields'!P18,'Armour &amp; Shields'!P18*'Armour &amp; Shields'!B18)</f>
        <v>0</v>
      </c>
      <c r="AC202" s="174"/>
      <c r="AD202" s="174"/>
      <c r="AE202" s="174"/>
      <c r="AF202" s="361"/>
      <c r="AG202" s="174"/>
      <c r="AH202" s="361">
        <v>210.0</v>
      </c>
      <c r="AI202" s="361">
        <v>20.0</v>
      </c>
      <c r="AJ202" s="174"/>
      <c r="AK202" s="174"/>
      <c r="AL202" s="174"/>
      <c r="AM202" s="174"/>
      <c r="AN202" s="174"/>
      <c r="AO202" s="174"/>
      <c r="AP202" s="174"/>
      <c r="AQ202" s="174"/>
      <c r="AR202" s="217"/>
      <c r="AS202" s="218"/>
    </row>
    <row r="203">
      <c r="A203" s="447"/>
      <c r="B203" s="359">
        <v>0.0</v>
      </c>
      <c r="C203" s="448"/>
      <c r="D203" s="359" t="s">
        <v>24</v>
      </c>
      <c r="E203" s="359"/>
      <c r="F203" s="359"/>
      <c r="G203" s="448"/>
      <c r="H203" s="172"/>
      <c r="I203" s="172"/>
      <c r="J203" s="172"/>
      <c r="K203" s="172"/>
      <c r="L203" s="172"/>
      <c r="M203" s="172"/>
      <c r="N203" s="172"/>
      <c r="O203" s="172"/>
      <c r="P203" s="172"/>
      <c r="Q203" s="172"/>
      <c r="R203" s="172"/>
      <c r="S203" s="172"/>
      <c r="T203" s="175">
        <f t="shared" si="41"/>
        <v>0</v>
      </c>
      <c r="U203" s="175">
        <f t="shared" si="42"/>
        <v>0</v>
      </c>
      <c r="V203" s="175">
        <f t="shared" si="43"/>
        <v>0</v>
      </c>
      <c r="W203" s="172"/>
      <c r="X203" s="174"/>
      <c r="Y203" s="174"/>
      <c r="Z203" s="174"/>
      <c r="AA203" s="429"/>
      <c r="AB203" s="223">
        <f>IF(ISBLANK('Armour &amp; Shields'!B19),'Armour &amp; Shields'!P19,'Armour &amp; Shields'!P19*'Armour &amp; Shields'!B19)</f>
        <v>0</v>
      </c>
      <c r="AC203" s="174"/>
      <c r="AD203" s="174"/>
      <c r="AE203" s="174"/>
      <c r="AF203" s="361"/>
      <c r="AG203" s="174"/>
      <c r="AH203" s="361">
        <v>231.0</v>
      </c>
      <c r="AI203" s="361">
        <v>21.0</v>
      </c>
      <c r="AJ203" s="174"/>
      <c r="AK203" s="174"/>
      <c r="AL203" s="174"/>
      <c r="AM203" s="174"/>
      <c r="AN203" s="174"/>
      <c r="AO203" s="174"/>
      <c r="AP203" s="174"/>
      <c r="AQ203" s="174"/>
      <c r="AR203" s="217"/>
      <c r="AS203" s="218"/>
    </row>
    <row r="204">
      <c r="A204" s="447"/>
      <c r="B204" s="359">
        <v>0.0</v>
      </c>
      <c r="C204" s="359"/>
      <c r="D204" s="359" t="s">
        <v>24</v>
      </c>
      <c r="E204" s="359"/>
      <c r="F204" s="359"/>
      <c r="G204" s="448"/>
      <c r="H204" s="172"/>
      <c r="I204" s="172"/>
      <c r="J204" s="172"/>
      <c r="K204" s="172"/>
      <c r="L204" s="172"/>
      <c r="M204" s="172"/>
      <c r="N204" s="172"/>
      <c r="O204" s="172"/>
      <c r="P204" s="172"/>
      <c r="Q204" s="172"/>
      <c r="R204" s="172"/>
      <c r="S204" s="172"/>
      <c r="T204" s="172"/>
      <c r="U204" s="172"/>
      <c r="V204" s="172"/>
      <c r="W204" s="172"/>
      <c r="X204" s="174"/>
      <c r="Y204" s="174"/>
      <c r="Z204" s="174"/>
      <c r="AA204" s="429"/>
      <c r="AB204" s="223">
        <f>IF(ISBLANK('Armour &amp; Shields'!B20),'Armour &amp; Shields'!P20,'Armour &amp; Shields'!P20*'Armour &amp; Shields'!B20)</f>
        <v>0</v>
      </c>
      <c r="AC204" s="174"/>
      <c r="AD204" s="174"/>
      <c r="AE204" s="174"/>
      <c r="AF204" s="361"/>
      <c r="AG204" s="174"/>
      <c r="AH204" s="174"/>
      <c r="AI204" s="174"/>
      <c r="AJ204" s="174"/>
      <c r="AK204" s="174"/>
      <c r="AL204" s="174"/>
      <c r="AM204" s="174"/>
      <c r="AN204" s="174"/>
      <c r="AO204" s="174"/>
      <c r="AP204" s="174"/>
      <c r="AQ204" s="174"/>
      <c r="AR204" s="217"/>
      <c r="AS204" s="218"/>
    </row>
    <row r="205">
      <c r="A205" s="449"/>
      <c r="B205" s="359">
        <v>0.0</v>
      </c>
      <c r="C205" s="359"/>
      <c r="D205" s="359" t="s">
        <v>24</v>
      </c>
      <c r="E205" s="359"/>
      <c r="F205" s="359"/>
      <c r="G205" s="448"/>
      <c r="H205" s="172"/>
      <c r="I205" s="172"/>
      <c r="J205" s="172"/>
      <c r="K205" s="172"/>
      <c r="L205" s="172"/>
      <c r="M205" s="172"/>
      <c r="N205" s="172"/>
      <c r="O205" s="172"/>
      <c r="P205" s="172"/>
      <c r="Q205" s="172"/>
      <c r="R205" s="172"/>
      <c r="S205" s="172"/>
      <c r="T205" s="172"/>
      <c r="U205" s="172"/>
      <c r="V205" s="172"/>
      <c r="W205" s="172"/>
      <c r="X205" s="174"/>
      <c r="Y205" s="174"/>
      <c r="Z205" s="174"/>
      <c r="AA205" s="429"/>
      <c r="AB205" s="223">
        <f>IF(ISBLANK('Armour &amp; Shields'!B21),'Armour &amp; Shields'!P21,'Armour &amp; Shields'!P21*'Armour &amp; Shields'!B21)</f>
        <v>0</v>
      </c>
      <c r="AC205" s="174"/>
      <c r="AD205" s="174"/>
      <c r="AE205" s="174"/>
      <c r="AF205" s="361"/>
      <c r="AG205" s="174"/>
      <c r="AH205" s="174"/>
      <c r="AI205" s="174"/>
      <c r="AJ205" s="174"/>
      <c r="AK205" s="174"/>
      <c r="AL205" s="174"/>
      <c r="AM205" s="174"/>
      <c r="AN205" s="174"/>
      <c r="AO205" s="174"/>
      <c r="AP205" s="174"/>
      <c r="AQ205" s="174"/>
      <c r="AR205" s="217"/>
      <c r="AS205" s="218"/>
    </row>
    <row r="206">
      <c r="A206" s="449"/>
      <c r="B206" s="359">
        <v>0.0</v>
      </c>
      <c r="C206" s="359"/>
      <c r="D206" s="359" t="s">
        <v>24</v>
      </c>
      <c r="E206" s="359"/>
      <c r="F206" s="359"/>
      <c r="G206" s="359"/>
      <c r="H206" s="172"/>
      <c r="I206" s="172"/>
      <c r="J206" s="172"/>
      <c r="K206" s="172"/>
      <c r="L206" s="172"/>
      <c r="M206" s="172"/>
      <c r="N206" s="172"/>
      <c r="O206" s="172"/>
      <c r="P206" s="172"/>
      <c r="Q206" s="172"/>
      <c r="R206" s="172"/>
      <c r="S206" s="172"/>
      <c r="T206" s="172"/>
      <c r="U206" s="172"/>
      <c r="V206" s="172"/>
      <c r="W206" s="172"/>
      <c r="X206" s="174"/>
      <c r="Y206" s="174"/>
      <c r="Z206" s="174"/>
      <c r="AA206" s="429"/>
      <c r="AB206" s="429"/>
      <c r="AC206" s="174"/>
      <c r="AD206" s="174"/>
      <c r="AE206" s="174"/>
      <c r="AF206" s="361"/>
      <c r="AG206" s="174"/>
      <c r="AH206" s="174"/>
      <c r="AI206" s="174"/>
      <c r="AJ206" s="174"/>
      <c r="AK206" s="174"/>
      <c r="AL206" s="174"/>
      <c r="AM206" s="174"/>
      <c r="AN206" s="174"/>
      <c r="AO206" s="174"/>
      <c r="AP206" s="174"/>
      <c r="AQ206" s="174"/>
      <c r="AR206" s="217"/>
      <c r="AS206" s="218"/>
    </row>
    <row r="207">
      <c r="A207" s="449"/>
      <c r="B207" s="359">
        <v>0.0</v>
      </c>
      <c r="C207" s="359"/>
      <c r="D207" s="359" t="s">
        <v>24</v>
      </c>
      <c r="E207" s="359"/>
      <c r="F207" s="359"/>
      <c r="G207" s="359"/>
      <c r="H207" s="172"/>
      <c r="I207" s="172"/>
      <c r="J207" s="172"/>
      <c r="K207" s="172"/>
      <c r="L207" s="172"/>
      <c r="M207" s="172"/>
      <c r="N207" s="172"/>
      <c r="O207" s="172"/>
      <c r="P207" s="172"/>
      <c r="Q207" s="172"/>
      <c r="R207" s="172"/>
      <c r="S207" s="172"/>
      <c r="T207" s="172"/>
      <c r="U207" s="172"/>
      <c r="V207" s="172"/>
      <c r="W207" s="172"/>
      <c r="X207" s="174"/>
      <c r="Y207" s="174"/>
      <c r="Z207" s="174"/>
      <c r="AA207" s="429"/>
      <c r="AB207" s="429"/>
      <c r="AC207" s="174"/>
      <c r="AD207" s="174"/>
      <c r="AE207" s="174"/>
      <c r="AF207" s="361"/>
      <c r="AG207" s="174"/>
      <c r="AH207" s="174"/>
      <c r="AI207" s="174"/>
      <c r="AJ207" s="174"/>
      <c r="AK207" s="174"/>
      <c r="AL207" s="174"/>
      <c r="AM207" s="174"/>
      <c r="AN207" s="174"/>
      <c r="AO207" s="174"/>
      <c r="AP207" s="174"/>
      <c r="AQ207" s="174"/>
      <c r="AR207" s="217"/>
      <c r="AS207" s="218"/>
    </row>
    <row r="208">
      <c r="A208" s="449"/>
      <c r="B208" s="359">
        <v>0.0</v>
      </c>
      <c r="C208" s="359"/>
      <c r="D208" s="359" t="s">
        <v>24</v>
      </c>
      <c r="E208" s="359"/>
      <c r="F208" s="359"/>
      <c r="G208" s="359"/>
      <c r="H208" s="172"/>
      <c r="I208" s="172"/>
      <c r="J208" s="172"/>
      <c r="K208" s="172"/>
      <c r="L208" s="172"/>
      <c r="M208" s="172"/>
      <c r="N208" s="172"/>
      <c r="O208" s="172"/>
      <c r="P208" s="172"/>
      <c r="Q208" s="172"/>
      <c r="R208" s="172"/>
      <c r="S208" s="172"/>
      <c r="T208" s="172"/>
      <c r="U208" s="172"/>
      <c r="V208" s="172"/>
      <c r="W208" s="172"/>
      <c r="X208" s="174"/>
      <c r="Y208" s="174"/>
      <c r="Z208" s="174"/>
      <c r="AA208" s="429"/>
      <c r="AB208" s="223">
        <f>IF(ISBLANK('Armour &amp; Shields'!B24),'Armour &amp; Shields'!I24,'Armour &amp; Shields'!I24*'Armour &amp; Shields'!B24)</f>
        <v>0</v>
      </c>
      <c r="AC208" s="174"/>
      <c r="AD208" s="174"/>
      <c r="AE208" s="174"/>
      <c r="AF208" s="361"/>
      <c r="AG208" s="174"/>
      <c r="AH208" s="174"/>
      <c r="AI208" s="174"/>
      <c r="AJ208" s="174"/>
      <c r="AK208" s="174"/>
      <c r="AL208" s="174"/>
      <c r="AM208" s="174"/>
      <c r="AN208" s="174"/>
      <c r="AO208" s="174"/>
      <c r="AP208" s="174"/>
      <c r="AQ208" s="174"/>
      <c r="AR208" s="217"/>
      <c r="AS208" s="218"/>
    </row>
    <row r="209">
      <c r="A209" s="449"/>
      <c r="B209" s="359">
        <v>0.0</v>
      </c>
      <c r="C209" s="359"/>
      <c r="D209" s="359" t="s">
        <v>24</v>
      </c>
      <c r="E209" s="359"/>
      <c r="F209" s="359"/>
      <c r="G209" s="359"/>
      <c r="H209" s="172"/>
      <c r="I209" s="172"/>
      <c r="J209" s="172"/>
      <c r="K209" s="172"/>
      <c r="L209" s="172"/>
      <c r="M209" s="172"/>
      <c r="N209" s="172"/>
      <c r="O209" s="172"/>
      <c r="P209" s="172"/>
      <c r="Q209" s="172"/>
      <c r="R209" s="172"/>
      <c r="S209" s="172"/>
      <c r="T209" s="172"/>
      <c r="U209" s="172"/>
      <c r="V209" s="172"/>
      <c r="W209" s="172"/>
      <c r="X209" s="174"/>
      <c r="Y209" s="174"/>
      <c r="Z209" s="174"/>
      <c r="AA209" s="429"/>
      <c r="AB209" s="223">
        <f>IF(ISBLANK('Armour &amp; Shields'!B25),'Armour &amp; Shields'!I25,'Armour &amp; Shields'!I25*'Armour &amp; Shields'!B25)</f>
        <v>0</v>
      </c>
      <c r="AC209" s="174"/>
      <c r="AD209" s="174"/>
      <c r="AE209" s="174"/>
      <c r="AF209" s="361"/>
      <c r="AG209" s="174"/>
      <c r="AH209" s="174"/>
      <c r="AI209" s="174"/>
      <c r="AJ209" s="174"/>
      <c r="AK209" s="174"/>
      <c r="AL209" s="174"/>
      <c r="AM209" s="174"/>
      <c r="AN209" s="174"/>
      <c r="AO209" s="174"/>
      <c r="AP209" s="174"/>
      <c r="AQ209" s="174"/>
      <c r="AR209" s="217"/>
      <c r="AS209" s="218"/>
    </row>
    <row r="210">
      <c r="A210" s="449"/>
      <c r="B210" s="359">
        <v>0.0</v>
      </c>
      <c r="C210" s="359"/>
      <c r="D210" s="359" t="s">
        <v>24</v>
      </c>
      <c r="E210" s="359"/>
      <c r="F210" s="359"/>
      <c r="G210" s="359"/>
      <c r="H210" s="172"/>
      <c r="I210" s="172"/>
      <c r="J210" s="172"/>
      <c r="K210" s="172"/>
      <c r="L210" s="172"/>
      <c r="M210" s="172"/>
      <c r="N210" s="172"/>
      <c r="O210" s="172"/>
      <c r="P210" s="172"/>
      <c r="Q210" s="172"/>
      <c r="R210" s="172"/>
      <c r="S210" s="172"/>
      <c r="T210" s="172"/>
      <c r="U210" s="172"/>
      <c r="V210" s="172"/>
      <c r="W210" s="172"/>
      <c r="X210" s="174"/>
      <c r="Y210" s="174"/>
      <c r="Z210" s="174"/>
      <c r="AA210" s="429"/>
      <c r="AB210" s="223">
        <f>IF(ISBLANK('Armour &amp; Shields'!B26),'Armour &amp; Shields'!I26,'Armour &amp; Shields'!I26*'Armour &amp; Shields'!B26)</f>
        <v>0</v>
      </c>
      <c r="AC210" s="174"/>
      <c r="AD210" s="174"/>
      <c r="AE210" s="174"/>
      <c r="AF210" s="174"/>
      <c r="AG210" s="174"/>
      <c r="AH210" s="174"/>
      <c r="AI210" s="174"/>
      <c r="AJ210" s="174"/>
      <c r="AK210" s="174"/>
      <c r="AL210" s="174"/>
      <c r="AM210" s="174"/>
      <c r="AN210" s="174"/>
      <c r="AO210" s="174"/>
      <c r="AP210" s="174"/>
      <c r="AQ210" s="174"/>
      <c r="AR210" s="217"/>
      <c r="AS210" s="218"/>
    </row>
    <row r="211">
      <c r="A211" s="449"/>
      <c r="B211" s="359">
        <v>0.0</v>
      </c>
      <c r="C211" s="359"/>
      <c r="D211" s="359" t="s">
        <v>24</v>
      </c>
      <c r="E211" s="359"/>
      <c r="F211" s="359"/>
      <c r="G211" s="359"/>
      <c r="H211" s="172"/>
      <c r="I211" s="172"/>
      <c r="J211" s="172"/>
      <c r="K211" s="172"/>
      <c r="L211" s="172"/>
      <c r="M211" s="172"/>
      <c r="N211" s="172"/>
      <c r="O211" s="172"/>
      <c r="P211" s="172"/>
      <c r="Q211" s="172"/>
      <c r="R211" s="172"/>
      <c r="S211" s="172"/>
      <c r="T211" s="172"/>
      <c r="U211" s="172"/>
      <c r="V211" s="172"/>
      <c r="W211" s="172"/>
      <c r="X211" s="174"/>
      <c r="Y211" s="174"/>
      <c r="Z211" s="174"/>
      <c r="AA211" s="429"/>
      <c r="AB211" s="223">
        <f>IF(ISBLANK('Armour &amp; Shields'!B27),'Armour &amp; Shields'!I27,'Armour &amp; Shields'!I27*'Armour &amp; Shields'!B27)</f>
        <v>0</v>
      </c>
      <c r="AC211" s="174"/>
      <c r="AD211" s="174"/>
      <c r="AE211" s="174"/>
      <c r="AF211" s="174"/>
      <c r="AG211" s="174"/>
      <c r="AH211" s="174"/>
      <c r="AI211" s="174"/>
      <c r="AJ211" s="174"/>
      <c r="AK211" s="174"/>
      <c r="AL211" s="174"/>
      <c r="AM211" s="174"/>
      <c r="AN211" s="174"/>
      <c r="AO211" s="174"/>
      <c r="AP211" s="174"/>
      <c r="AQ211" s="174"/>
      <c r="AR211" s="217"/>
      <c r="AS211" s="218"/>
    </row>
    <row r="212">
      <c r="A212" s="450"/>
      <c r="B212" s="359">
        <v>0.0</v>
      </c>
      <c r="C212" s="359"/>
      <c r="D212" s="359" t="s">
        <v>24</v>
      </c>
      <c r="E212" s="359"/>
      <c r="F212" s="359"/>
      <c r="G212" s="359"/>
      <c r="H212" s="172"/>
      <c r="I212" s="172"/>
      <c r="J212" s="172"/>
      <c r="K212" s="172"/>
      <c r="L212" s="172"/>
      <c r="M212" s="172"/>
      <c r="N212" s="172"/>
      <c r="O212" s="172"/>
      <c r="P212" s="172"/>
      <c r="Q212" s="172"/>
      <c r="R212" s="172"/>
      <c r="S212" s="172"/>
      <c r="T212" s="172"/>
      <c r="U212" s="172"/>
      <c r="V212" s="172"/>
      <c r="W212" s="172"/>
      <c r="X212" s="174"/>
      <c r="Y212" s="174"/>
      <c r="Z212" s="174"/>
      <c r="AA212" s="429"/>
      <c r="AB212" s="223">
        <f>IF(ISBLANK('Armour &amp; Shields'!B28),'Armour &amp; Shields'!I28,'Armour &amp; Shields'!I28*'Armour &amp; Shields'!B28)</f>
        <v>0</v>
      </c>
      <c r="AC212" s="174"/>
      <c r="AD212" s="174" t="str">
        <f>HLOOKUP(MAX(AD171:AL171),AD171:AM172,2,FALSE)</f>
        <v>STR</v>
      </c>
      <c r="AE212" s="174" t="str">
        <f>HLOOKUP(MIN(AD171:AK171),AD171:AM172,2,FALSE)</f>
        <v>STR</v>
      </c>
      <c r="AF212" s="174"/>
      <c r="AG212" s="174"/>
      <c r="AH212" s="174"/>
      <c r="AI212" s="174"/>
      <c r="AJ212" s="174"/>
      <c r="AK212" s="174"/>
      <c r="AL212" s="174"/>
      <c r="AM212" s="174"/>
      <c r="AN212" s="174"/>
      <c r="AO212" s="174"/>
      <c r="AP212" s="174"/>
      <c r="AQ212" s="174"/>
      <c r="AR212" s="217"/>
      <c r="AS212" s="218"/>
    </row>
    <row r="213">
      <c r="A213" s="450"/>
      <c r="B213" s="359">
        <v>0.0</v>
      </c>
      <c r="C213" s="359"/>
      <c r="D213" s="359" t="s">
        <v>24</v>
      </c>
      <c r="E213" s="359"/>
      <c r="F213" s="359"/>
      <c r="G213" s="359"/>
      <c r="H213" s="172"/>
      <c r="I213" s="172"/>
      <c r="J213" s="172"/>
      <c r="K213" s="172"/>
      <c r="L213" s="172"/>
      <c r="M213" s="172"/>
      <c r="N213" s="172"/>
      <c r="O213" s="172"/>
      <c r="P213" s="172"/>
      <c r="Q213" s="172"/>
      <c r="R213" s="172"/>
      <c r="S213" s="172"/>
      <c r="T213" s="172"/>
      <c r="U213" s="172"/>
      <c r="V213" s="172"/>
      <c r="W213" s="172"/>
      <c r="X213" s="174"/>
      <c r="Y213" s="174"/>
      <c r="Z213" s="174"/>
      <c r="AA213" s="429"/>
      <c r="AB213" s="223">
        <f>IF(ISBLANK('Armour &amp; Shields'!B29),'Armour &amp; Shields'!I29,'Armour &amp; Shields'!I29*'Armour &amp; Shields'!B29)</f>
        <v>0</v>
      </c>
      <c r="AC213" s="174"/>
      <c r="AD213" s="174"/>
      <c r="AE213" s="174"/>
      <c r="AF213" s="174"/>
      <c r="AG213" s="174"/>
      <c r="AH213" s="174"/>
      <c r="AI213" s="174"/>
      <c r="AJ213" s="174"/>
      <c r="AK213" s="174"/>
      <c r="AL213" s="174"/>
      <c r="AM213" s="174"/>
      <c r="AN213" s="174"/>
      <c r="AO213" s="174"/>
      <c r="AP213" s="174"/>
      <c r="AQ213" s="174"/>
      <c r="AR213" s="217"/>
      <c r="AS213" s="218"/>
    </row>
    <row r="214">
      <c r="A214" s="450"/>
      <c r="B214" s="359">
        <v>0.0</v>
      </c>
      <c r="C214" s="359"/>
      <c r="D214" s="359" t="s">
        <v>24</v>
      </c>
      <c r="E214" s="359"/>
      <c r="F214" s="359"/>
      <c r="G214" s="359"/>
      <c r="H214" s="172"/>
      <c r="I214" s="172"/>
      <c r="J214" s="172"/>
      <c r="K214" s="172"/>
      <c r="L214" s="172"/>
      <c r="M214" s="172"/>
      <c r="N214" s="172"/>
      <c r="O214" s="172"/>
      <c r="P214" s="172"/>
      <c r="Q214" s="172"/>
      <c r="R214" s="172"/>
      <c r="S214" s="172"/>
      <c r="T214" s="172"/>
      <c r="U214" s="172"/>
      <c r="V214" s="172"/>
      <c r="W214" s="172"/>
      <c r="X214" s="174"/>
      <c r="Y214" s="174"/>
      <c r="Z214" s="174"/>
      <c r="AA214" s="429"/>
      <c r="AB214" s="223">
        <f>IF(ISBLANK('Armour &amp; Shields'!B30),'Armour &amp; Shields'!I30,'Armour &amp; Shields'!I30*'Armour &amp; Shields'!B30)</f>
        <v>0</v>
      </c>
      <c r="AC214" s="174"/>
      <c r="AD214" s="361" t="s">
        <v>56</v>
      </c>
      <c r="AE214" s="361" t="s">
        <v>57</v>
      </c>
      <c r="AF214" s="361" t="s">
        <v>58</v>
      </c>
      <c r="AG214" s="361" t="s">
        <v>60</v>
      </c>
      <c r="AH214" s="361" t="s">
        <v>61</v>
      </c>
      <c r="AI214" s="361" t="s">
        <v>59</v>
      </c>
      <c r="AJ214" s="361" t="s">
        <v>62</v>
      </c>
      <c r="AK214" s="361" t="s">
        <v>64</v>
      </c>
      <c r="AL214" s="174"/>
      <c r="AM214" s="174"/>
      <c r="AN214" s="361" t="s">
        <v>605</v>
      </c>
      <c r="AO214" s="174"/>
      <c r="AP214" s="174"/>
      <c r="AQ214" s="174"/>
      <c r="AR214" s="217"/>
      <c r="AS214" s="218"/>
    </row>
    <row r="215">
      <c r="A215" s="450"/>
      <c r="B215" s="443" t="s">
        <v>2</v>
      </c>
      <c r="C215" s="448" t="s">
        <v>120</v>
      </c>
      <c r="D215" s="443" t="s">
        <v>4</v>
      </c>
      <c r="E215" s="443" t="s">
        <v>6</v>
      </c>
      <c r="F215" s="443" t="s">
        <v>11</v>
      </c>
      <c r="G215" s="443" t="s">
        <v>9</v>
      </c>
      <c r="H215" s="435" t="s">
        <v>55</v>
      </c>
      <c r="I215" s="435" t="s">
        <v>14</v>
      </c>
      <c r="J215" s="435" t="s">
        <v>19</v>
      </c>
      <c r="K215" s="172"/>
      <c r="L215" s="433" t="s">
        <v>645</v>
      </c>
      <c r="M215" s="172"/>
      <c r="N215" s="172"/>
      <c r="O215" s="172"/>
      <c r="P215" s="172"/>
      <c r="Q215" s="172"/>
      <c r="R215" s="172"/>
      <c r="S215" s="172"/>
      <c r="T215" s="172"/>
      <c r="U215" s="172"/>
      <c r="V215" s="172"/>
      <c r="W215" s="172"/>
      <c r="X215" s="174"/>
      <c r="Y215" s="174"/>
      <c r="Z215" s="174"/>
      <c r="AA215" s="429"/>
      <c r="AB215" s="223">
        <f>IF(ISBLANK('Armour &amp; Shields'!B31),'Armour &amp; Shields'!I31,'Armour &amp; Shields'!I31*'Armour &amp; Shields'!B31)</f>
        <v>0</v>
      </c>
      <c r="AC215" s="174"/>
      <c r="AD215" s="361" t="s">
        <v>646</v>
      </c>
      <c r="AE215" s="361" t="s">
        <v>647</v>
      </c>
      <c r="AF215" s="361" t="s">
        <v>648</v>
      </c>
      <c r="AG215" s="361" t="s">
        <v>649</v>
      </c>
      <c r="AH215" s="361" t="s">
        <v>650</v>
      </c>
      <c r="AI215" s="361" t="s">
        <v>651</v>
      </c>
      <c r="AJ215" s="361" t="s">
        <v>652</v>
      </c>
      <c r="AK215" s="361" t="s">
        <v>653</v>
      </c>
      <c r="AL215" s="174"/>
      <c r="AM215" s="174"/>
      <c r="AN215" s="174" t="str">
        <f>HLOOKUP(AD212,AD214:AK222,2,FALSE)</f>
        <v>Massive</v>
      </c>
      <c r="AO215" s="174"/>
      <c r="AP215" s="174"/>
      <c r="AQ215" s="174"/>
      <c r="AR215" s="217"/>
      <c r="AS215" s="218"/>
    </row>
    <row r="216">
      <c r="A216" s="450"/>
      <c r="B216" s="359">
        <f>IFERROR(__xludf.DUMMYFUNCTION("IF(ISNA(FILTER('Armour &amp; Shields'!B40:B53,'Armour &amp; Shields'!B40:B53&lt;&gt;"""")),"""",FILTER('Armour &amp; Shields'!B40:B53,'Armour &amp; Shields'!B40:B53&lt;&gt;""""))"),"0")</f>
        <v>0</v>
      </c>
      <c r="C216" s="359" t="str">
        <f>IFERROR(__xludf.DUMMYFUNCTION("IF(ISNA(FILTER('Armour &amp; Shields'!C40:C53,'Armour &amp; Shields'!C40:C53&lt;&gt;"""")),"""",FILTER('Armour &amp; Shields'!C40:C53,'Armour &amp; Shields'!C40:C53&lt;&gt;""""))"),"")</f>
        <v/>
      </c>
      <c r="D216" s="359" t="str">
        <f>IFERROR(__xludf.DUMMYFUNCTION("IF(ISNA(FILTER('Armour &amp; Shields'!D40:D53,'Armour &amp; Shields'!D40:D53&lt;&gt;"""")),"""",FILTER('Armour &amp; Shields'!D40:D53,'Armour &amp; Shields'!D40:D53&lt;&gt;""""))"),"Standard")</f>
        <v>Standard</v>
      </c>
      <c r="E216" s="359" t="str">
        <f>IFERROR(__xludf.DUMMYFUNCTION("IF(ISNA(FILTER('Armour &amp; Shields'!E40:E53,'Armour &amp; Shields'!E40:E53&lt;&gt;"""")),"""",FILTER('Armour &amp; Shields'!E40:E53,'Armour &amp; Shields'!E40:E53&lt;&gt;""""))"),"Untrained")</f>
        <v>Untrained</v>
      </c>
      <c r="F216" s="359" t="str">
        <f>IFERROR(__xludf.DUMMYFUNCTION("IF(ISNA(FILTER('Armour &amp; Shields'!F40:F53,'Armour &amp; Shields'!F40:F53&lt;&gt;"""")),"""",FILTER('Armour &amp; Shields'!F40:F53,'Armour &amp; Shields'!F40:F53&lt;&gt;""""))"),"")</f>
        <v/>
      </c>
      <c r="G216" s="359" t="str">
        <f>IFERROR(__xludf.DUMMYFUNCTION("IF(ISNA(FILTER('Armour &amp; Shields'!G40:G53,'Armour &amp; Shields'!G40:G53&lt;&gt;"""")),"""",FILTER('Armour &amp; Shields'!G40:G53,'Armour &amp; Shields'!G40:G53&lt;&gt;""""))"),"")</f>
        <v/>
      </c>
      <c r="H216" s="359" t="str">
        <f>IFERROR(__xludf.DUMMYFUNCTION("IF(ISNA(FILTER('Armour &amp; Shields'!H40:H53,'Armour &amp; Shields'!H40:H53&lt;&gt;"""")),"""",FILTER('Armour &amp; Shields'!H40:H53,'Armour &amp; Shields'!H40:H53&lt;&gt;""""))"),"")</f>
        <v/>
      </c>
      <c r="I216" s="359" t="str">
        <f>IFERROR(__xludf.DUMMYFUNCTION("IF(ISNA(FILTER('Armour &amp; Shields'!I40:I53,'Armour &amp; Shields'!I40:I53&lt;&gt;"""")),"""",FILTER('Armour &amp; Shields'!I40:I53,'Armour &amp; Shields'!I40:I53&lt;&gt;""""))"),"")</f>
        <v/>
      </c>
      <c r="J216" s="359" t="str">
        <f>IFERROR(__xludf.DUMMYFUNCTION("IF(ISNA(FILTER('Armour &amp; Shields'!J40:J53,'Armour &amp; Shields'!J40:J53&lt;&gt;"""")),"""",FILTER('Armour &amp; Shields'!J40:J53,'Armour &amp; Shields'!J40:J53&lt;&gt;""""))"),"-")</f>
        <v>-</v>
      </c>
      <c r="K216" s="172"/>
      <c r="L216" s="172"/>
      <c r="M216" s="172"/>
      <c r="N216" s="172"/>
      <c r="O216" s="172"/>
      <c r="P216" s="172"/>
      <c r="Q216" s="172"/>
      <c r="R216" s="172"/>
      <c r="S216" s="172"/>
      <c r="T216" s="172"/>
      <c r="U216" s="172"/>
      <c r="V216" s="172"/>
      <c r="W216" s="172"/>
      <c r="X216" s="174"/>
      <c r="Y216" s="174"/>
      <c r="Z216" s="174"/>
      <c r="AA216" s="429"/>
      <c r="AB216" s="223">
        <f>IF(ISBLANK('Armour &amp; Shields'!B32),'Armour &amp; Shields'!I32,'Armour &amp; Shields'!I32*'Armour &amp; Shields'!B32)</f>
        <v>0</v>
      </c>
      <c r="AC216" s="174"/>
      <c r="AD216" s="361" t="s">
        <v>654</v>
      </c>
      <c r="AE216" s="361" t="s">
        <v>655</v>
      </c>
      <c r="AF216" s="361" t="s">
        <v>656</v>
      </c>
      <c r="AG216" s="361" t="s">
        <v>657</v>
      </c>
      <c r="AH216" s="361" t="s">
        <v>658</v>
      </c>
      <c r="AI216" s="361" t="s">
        <v>659</v>
      </c>
      <c r="AJ216" s="361" t="s">
        <v>660</v>
      </c>
      <c r="AK216" s="361" t="s">
        <v>661</v>
      </c>
      <c r="AL216" s="174"/>
      <c r="AM216" s="174"/>
      <c r="AN216" s="174" t="str">
        <f>HLOOKUP(AD212,AD214:AK222,3,FALSE)</f>
        <v>Athletic</v>
      </c>
      <c r="AO216" s="174"/>
      <c r="AP216" s="174"/>
      <c r="AQ216" s="174"/>
      <c r="AR216" s="217"/>
      <c r="AS216" s="218"/>
    </row>
    <row r="217">
      <c r="A217" s="450"/>
      <c r="B217" s="359">
        <v>0.0</v>
      </c>
      <c r="C217" s="359"/>
      <c r="D217" s="359" t="s">
        <v>24</v>
      </c>
      <c r="E217" s="359" t="s">
        <v>25</v>
      </c>
      <c r="F217" s="359"/>
      <c r="G217" s="359"/>
      <c r="H217" s="172"/>
      <c r="I217" s="172"/>
      <c r="J217" s="172" t="s">
        <v>26</v>
      </c>
      <c r="K217" s="172"/>
      <c r="L217" s="172"/>
      <c r="M217" s="172"/>
      <c r="N217" s="172"/>
      <c r="O217" s="172"/>
      <c r="P217" s="172"/>
      <c r="Q217" s="172"/>
      <c r="R217" s="172"/>
      <c r="S217" s="172"/>
      <c r="T217" s="172"/>
      <c r="U217" s="172"/>
      <c r="V217" s="172"/>
      <c r="W217" s="172"/>
      <c r="X217" s="174"/>
      <c r="Y217" s="174"/>
      <c r="Z217" s="174"/>
      <c r="AA217" s="429"/>
      <c r="AB217" s="223">
        <f>IF(ISBLANK('Armour &amp; Shields'!B33),'Armour &amp; Shields'!I33,'Armour &amp; Shields'!I33*'Armour &amp; Shields'!B33)</f>
        <v>0</v>
      </c>
      <c r="AC217" s="174"/>
      <c r="AD217" s="361" t="s">
        <v>662</v>
      </c>
      <c r="AE217" s="361" t="s">
        <v>663</v>
      </c>
      <c r="AF217" s="174"/>
      <c r="AG217" s="174"/>
      <c r="AH217" s="174"/>
      <c r="AI217" s="174"/>
      <c r="AJ217" s="361" t="s">
        <v>664</v>
      </c>
      <c r="AK217" s="361" t="s">
        <v>665</v>
      </c>
      <c r="AL217" s="174"/>
      <c r="AM217" s="174"/>
      <c r="AN217" s="174" t="str">
        <f>HLOOKUP(AD212,AD214:AK222,4,FALSE)</f>
        <v>Brawny</v>
      </c>
      <c r="AO217" s="174"/>
      <c r="AP217" s="174"/>
      <c r="AQ217" s="174"/>
      <c r="AR217" s="217"/>
      <c r="AS217" s="218"/>
    </row>
    <row r="218">
      <c r="A218" s="450"/>
      <c r="B218" s="359">
        <v>0.0</v>
      </c>
      <c r="C218" s="359"/>
      <c r="D218" s="359" t="s">
        <v>24</v>
      </c>
      <c r="E218" s="359" t="s">
        <v>25</v>
      </c>
      <c r="F218" s="359"/>
      <c r="G218" s="359"/>
      <c r="H218" s="172"/>
      <c r="I218" s="172"/>
      <c r="J218" s="172" t="s">
        <v>26</v>
      </c>
      <c r="K218" s="172"/>
      <c r="L218" s="172"/>
      <c r="M218" s="172"/>
      <c r="N218" s="172"/>
      <c r="O218" s="172"/>
      <c r="P218" s="172"/>
      <c r="Q218" s="172"/>
      <c r="R218" s="172"/>
      <c r="S218" s="172"/>
      <c r="T218" s="172"/>
      <c r="U218" s="172"/>
      <c r="V218" s="172"/>
      <c r="W218" s="172"/>
      <c r="X218" s="174"/>
      <c r="Y218" s="174"/>
      <c r="Z218" s="174"/>
      <c r="AA218" s="429"/>
      <c r="AB218" s="223">
        <f>IF(ISBLANK('Armour &amp; Shields'!B34),'Armour &amp; Shields'!I34,'Armour &amp; Shields'!I34*'Armour &amp; Shields'!B34)</f>
        <v>0</v>
      </c>
      <c r="AC218" s="174"/>
      <c r="AD218" s="174"/>
      <c r="AE218" s="174"/>
      <c r="AF218" s="174"/>
      <c r="AG218" s="174"/>
      <c r="AH218" s="174"/>
      <c r="AI218" s="174"/>
      <c r="AJ218" s="361" t="s">
        <v>666</v>
      </c>
      <c r="AK218" s="174"/>
      <c r="AL218" s="174"/>
      <c r="AM218" s="174"/>
      <c r="AN218" s="174" t="str">
        <f>HLOOKUP(AD212,AD214:AK222,5,FALSE)</f>
        <v/>
      </c>
      <c r="AO218" s="174"/>
      <c r="AP218" s="174"/>
      <c r="AQ218" s="174"/>
      <c r="AR218" s="217"/>
      <c r="AS218" s="218"/>
    </row>
    <row r="219">
      <c r="A219" s="450"/>
      <c r="B219" s="359">
        <v>0.0</v>
      </c>
      <c r="C219" s="359"/>
      <c r="D219" s="359" t="s">
        <v>24</v>
      </c>
      <c r="E219" s="359" t="s">
        <v>25</v>
      </c>
      <c r="F219" s="359"/>
      <c r="G219" s="359"/>
      <c r="H219" s="172"/>
      <c r="I219" s="172"/>
      <c r="J219" s="172" t="s">
        <v>26</v>
      </c>
      <c r="K219" s="172"/>
      <c r="L219" s="172"/>
      <c r="M219" s="172"/>
      <c r="N219" s="172"/>
      <c r="O219" s="172"/>
      <c r="P219" s="172"/>
      <c r="Q219" s="172"/>
      <c r="R219" s="172"/>
      <c r="S219" s="172"/>
      <c r="T219" s="172"/>
      <c r="U219" s="172"/>
      <c r="V219" s="172"/>
      <c r="W219" s="172"/>
      <c r="X219" s="174"/>
      <c r="Y219" s="174"/>
      <c r="Z219" s="174"/>
      <c r="AA219" s="429"/>
      <c r="AB219" s="223">
        <f>IF(ISBLANK('Armour &amp; Shields'!B35),'Armour &amp; Shields'!I35,'Armour &amp; Shields'!I35*'Armour &amp; Shields'!B35)</f>
        <v>0</v>
      </c>
      <c r="AC219" s="174"/>
      <c r="AD219" s="174"/>
      <c r="AE219" s="174"/>
      <c r="AF219" s="174"/>
      <c r="AG219" s="174"/>
      <c r="AH219" s="174"/>
      <c r="AI219" s="174"/>
      <c r="AJ219" s="174"/>
      <c r="AK219" s="174"/>
      <c r="AL219" s="174"/>
      <c r="AM219" s="174"/>
      <c r="AN219" s="174" t="str">
        <f>HLOOKUP(AD212,AD214:AK222,6,FALSE)</f>
        <v/>
      </c>
      <c r="AO219" s="174"/>
      <c r="AP219" s="174"/>
      <c r="AQ219" s="174"/>
      <c r="AR219" s="217"/>
      <c r="AS219" s="218"/>
    </row>
    <row r="220">
      <c r="A220" s="450"/>
      <c r="B220" s="441">
        <v>0.0</v>
      </c>
      <c r="C220" s="441"/>
      <c r="D220" s="441" t="s">
        <v>24</v>
      </c>
      <c r="E220" s="441" t="s">
        <v>25</v>
      </c>
      <c r="F220" s="441"/>
      <c r="G220" s="441"/>
      <c r="H220" s="441"/>
      <c r="I220" s="441"/>
      <c r="J220" s="441" t="s">
        <v>26</v>
      </c>
      <c r="K220" s="441"/>
      <c r="L220" s="441"/>
      <c r="M220" s="441"/>
      <c r="N220" s="223"/>
      <c r="O220" s="223"/>
      <c r="P220" s="172"/>
      <c r="Q220" s="172"/>
      <c r="R220" s="172"/>
      <c r="S220" s="172"/>
      <c r="T220" s="172"/>
      <c r="U220" s="172"/>
      <c r="V220" s="172"/>
      <c r="W220" s="172"/>
      <c r="X220" s="174"/>
      <c r="Y220" s="174"/>
      <c r="Z220" s="174"/>
      <c r="AA220" s="429"/>
      <c r="AB220" s="223">
        <f>IF(ISBLANK('Armour &amp; Shields'!B36),'Armour &amp; Shields'!I36,'Armour &amp; Shields'!I36*'Armour &amp; Shields'!B36)</f>
        <v>0</v>
      </c>
      <c r="AC220" s="174"/>
      <c r="AD220" s="174"/>
      <c r="AE220" s="174"/>
      <c r="AF220" s="174"/>
      <c r="AG220" s="174"/>
      <c r="AH220" s="174"/>
      <c r="AI220" s="174"/>
      <c r="AJ220" s="174"/>
      <c r="AK220" s="174"/>
      <c r="AL220" s="174"/>
      <c r="AM220" s="174"/>
      <c r="AN220" s="174" t="str">
        <f>HLOOKUP(AD212,AD214:AK222,7,FALSE)</f>
        <v/>
      </c>
      <c r="AO220" s="174"/>
      <c r="AP220" s="174"/>
      <c r="AQ220" s="174"/>
      <c r="AR220" s="217"/>
      <c r="AS220" s="218"/>
    </row>
    <row r="221">
      <c r="A221" s="450"/>
      <c r="B221" s="441">
        <v>0.0</v>
      </c>
      <c r="C221" s="441"/>
      <c r="D221" s="441" t="s">
        <v>24</v>
      </c>
      <c r="E221" s="441" t="s">
        <v>25</v>
      </c>
      <c r="F221" s="441"/>
      <c r="G221" s="441"/>
      <c r="H221" s="441"/>
      <c r="I221" s="441"/>
      <c r="J221" s="441" t="s">
        <v>26</v>
      </c>
      <c r="K221" s="441"/>
      <c r="L221" s="441"/>
      <c r="M221" s="441"/>
      <c r="N221" s="223"/>
      <c r="O221" s="223"/>
      <c r="P221" s="172"/>
      <c r="Q221" s="172"/>
      <c r="R221" s="172"/>
      <c r="S221" s="172"/>
      <c r="T221" s="172"/>
      <c r="U221" s="172"/>
      <c r="V221" s="172"/>
      <c r="W221" s="172"/>
      <c r="X221" s="174"/>
      <c r="Y221" s="174"/>
      <c r="Z221" s="174"/>
      <c r="AA221" s="429"/>
      <c r="AB221" s="223">
        <f>IF(ISBLANK('Armour &amp; Shields'!B37),'Armour &amp; Shields'!I37,'Armour &amp; Shields'!I37*'Armour &amp; Shields'!B37)</f>
        <v>0</v>
      </c>
      <c r="AC221" s="174"/>
      <c r="AD221" s="174"/>
      <c r="AE221" s="174"/>
      <c r="AF221" s="174"/>
      <c r="AG221" s="174"/>
      <c r="AH221" s="174"/>
      <c r="AI221" s="174"/>
      <c r="AJ221" s="174"/>
      <c r="AK221" s="174"/>
      <c r="AL221" s="174"/>
      <c r="AM221" s="174"/>
      <c r="AN221" s="174" t="str">
        <f>HLOOKUP(AD212,AD214:AK222,8,FALSE)</f>
        <v/>
      </c>
      <c r="AO221" s="174"/>
      <c r="AP221" s="174"/>
      <c r="AQ221" s="174"/>
      <c r="AR221" s="217"/>
      <c r="AS221" s="218"/>
    </row>
    <row r="222">
      <c r="A222" s="450"/>
      <c r="B222" s="441">
        <v>0.0</v>
      </c>
      <c r="C222" s="441"/>
      <c r="D222" s="441" t="s">
        <v>24</v>
      </c>
      <c r="E222" s="441" t="s">
        <v>25</v>
      </c>
      <c r="F222" s="441"/>
      <c r="G222" s="441"/>
      <c r="H222" s="441"/>
      <c r="I222" s="441"/>
      <c r="J222" s="441" t="s">
        <v>26</v>
      </c>
      <c r="K222" s="441"/>
      <c r="L222" s="441"/>
      <c r="M222" s="441"/>
      <c r="N222" s="223"/>
      <c r="O222" s="223"/>
      <c r="P222" s="172"/>
      <c r="Q222" s="172"/>
      <c r="R222" s="172"/>
      <c r="S222" s="172"/>
      <c r="T222" s="172"/>
      <c r="U222" s="172"/>
      <c r="V222" s="172"/>
      <c r="W222" s="172"/>
      <c r="X222" s="174"/>
      <c r="Y222" s="174"/>
      <c r="Z222" s="174"/>
      <c r="AA222" s="429"/>
      <c r="AB222" s="429"/>
      <c r="AC222" s="174"/>
      <c r="AD222" s="174"/>
      <c r="AE222" s="174"/>
      <c r="AF222" s="174"/>
      <c r="AG222" s="174"/>
      <c r="AH222" s="174"/>
      <c r="AI222" s="174"/>
      <c r="AJ222" s="174"/>
      <c r="AK222" s="174"/>
      <c r="AL222" s="174"/>
      <c r="AM222" s="174"/>
      <c r="AN222" s="174" t="str">
        <f>HLOOKUP(AD212,AD214:AK222,9,FALSE)</f>
        <v/>
      </c>
      <c r="AO222" s="174"/>
      <c r="AP222" s="174"/>
      <c r="AQ222" s="174"/>
      <c r="AR222" s="217"/>
      <c r="AS222" s="218"/>
    </row>
    <row r="223">
      <c r="A223" s="450"/>
      <c r="B223" s="441">
        <v>0.0</v>
      </c>
      <c r="C223" s="441"/>
      <c r="D223" s="441" t="s">
        <v>24</v>
      </c>
      <c r="E223" s="441" t="s">
        <v>25</v>
      </c>
      <c r="F223" s="441"/>
      <c r="G223" s="441"/>
      <c r="H223" s="441"/>
      <c r="I223" s="441"/>
      <c r="J223" s="441" t="s">
        <v>26</v>
      </c>
      <c r="K223" s="441"/>
      <c r="L223" s="441"/>
      <c r="M223" s="441"/>
      <c r="N223" s="223"/>
      <c r="O223" s="223"/>
      <c r="P223" s="172"/>
      <c r="Q223" s="172"/>
      <c r="R223" s="172"/>
      <c r="S223" s="172"/>
      <c r="T223" s="172"/>
      <c r="U223" s="172"/>
      <c r="V223" s="172"/>
      <c r="W223" s="172"/>
      <c r="X223" s="174"/>
      <c r="Y223" s="174"/>
      <c r="Z223" s="174"/>
      <c r="AA223" s="429"/>
      <c r="AB223" s="429"/>
      <c r="AC223" s="174"/>
      <c r="AD223" s="361" t="s">
        <v>56</v>
      </c>
      <c r="AE223" s="361" t="s">
        <v>57</v>
      </c>
      <c r="AF223" s="361" t="s">
        <v>58</v>
      </c>
      <c r="AG223" s="361" t="s">
        <v>60</v>
      </c>
      <c r="AH223" s="361" t="s">
        <v>61</v>
      </c>
      <c r="AI223" s="361" t="s">
        <v>59</v>
      </c>
      <c r="AJ223" s="361" t="s">
        <v>62</v>
      </c>
      <c r="AK223" s="174"/>
      <c r="AL223" s="174"/>
      <c r="AM223" s="174"/>
      <c r="AN223" s="174"/>
      <c r="AO223" s="174"/>
      <c r="AP223" s="174"/>
      <c r="AQ223" s="174"/>
      <c r="AR223" s="217"/>
      <c r="AS223" s="218"/>
    </row>
    <row r="224">
      <c r="A224" s="450"/>
      <c r="B224" s="441">
        <v>0.0</v>
      </c>
      <c r="C224" s="441"/>
      <c r="D224" s="441" t="s">
        <v>24</v>
      </c>
      <c r="E224" s="441" t="s">
        <v>25</v>
      </c>
      <c r="F224" s="441"/>
      <c r="G224" s="441"/>
      <c r="H224" s="441"/>
      <c r="I224" s="441"/>
      <c r="J224" s="441" t="s">
        <v>26</v>
      </c>
      <c r="K224" s="441"/>
      <c r="L224" s="441"/>
      <c r="M224" s="441"/>
      <c r="N224" s="223"/>
      <c r="O224" s="223"/>
      <c r="P224" s="172"/>
      <c r="Q224" s="172"/>
      <c r="R224" s="172"/>
      <c r="S224" s="172"/>
      <c r="T224" s="172"/>
      <c r="U224" s="172"/>
      <c r="V224" s="172"/>
      <c r="W224" s="172"/>
      <c r="X224" s="174"/>
      <c r="Y224" s="174"/>
      <c r="Z224" s="174"/>
      <c r="AA224" s="429"/>
      <c r="AB224" s="223">
        <f>IF(ISBLANK('Armour &amp; Shields'!B40),'Armour &amp; Shields'!I40,'Armour &amp; Shields'!I40*'Armour &amp; Shields'!B40)</f>
        <v>0</v>
      </c>
      <c r="AC224" s="174"/>
      <c r="AD224" s="361" t="s">
        <v>667</v>
      </c>
      <c r="AE224" s="361" t="s">
        <v>668</v>
      </c>
      <c r="AF224" s="361" t="s">
        <v>669</v>
      </c>
      <c r="AG224" s="361" t="s">
        <v>670</v>
      </c>
      <c r="AH224" s="361" t="s">
        <v>671</v>
      </c>
      <c r="AI224" s="361" t="s">
        <v>672</v>
      </c>
      <c r="AJ224" s="361" t="s">
        <v>673</v>
      </c>
      <c r="AK224" s="174"/>
      <c r="AL224" s="174"/>
      <c r="AM224" s="174"/>
      <c r="AN224" s="174" t="str">
        <f>HLOOKUP(AE212,AD223:AJ234,2,FALSE)</f>
        <v>Feeble</v>
      </c>
      <c r="AO224" s="174"/>
      <c r="AP224" s="174"/>
      <c r="AQ224" s="174"/>
      <c r="AR224" s="217"/>
      <c r="AS224" s="218"/>
    </row>
    <row r="225">
      <c r="A225" s="450"/>
      <c r="B225" s="441">
        <v>0.0</v>
      </c>
      <c r="C225" s="441"/>
      <c r="D225" s="441" t="s">
        <v>24</v>
      </c>
      <c r="E225" s="441" t="s">
        <v>25</v>
      </c>
      <c r="F225" s="441"/>
      <c r="G225" s="441"/>
      <c r="H225" s="441"/>
      <c r="I225" s="441"/>
      <c r="J225" s="441" t="s">
        <v>26</v>
      </c>
      <c r="K225" s="441"/>
      <c r="L225" s="441"/>
      <c r="M225" s="441"/>
      <c r="N225" s="223"/>
      <c r="O225" s="223"/>
      <c r="P225" s="172"/>
      <c r="Q225" s="172"/>
      <c r="R225" s="172"/>
      <c r="S225" s="172"/>
      <c r="T225" s="172"/>
      <c r="U225" s="172"/>
      <c r="V225" s="172"/>
      <c r="W225" s="172"/>
      <c r="X225" s="174"/>
      <c r="Y225" s="174"/>
      <c r="Z225" s="174"/>
      <c r="AA225" s="429"/>
      <c r="AB225" s="223">
        <f>IF(ISBLANK('Armour &amp; Shields'!B41),'Armour &amp; Shields'!I41,'Armour &amp; Shields'!I41*'Armour &amp; Shields'!B41)</f>
        <v>0</v>
      </c>
      <c r="AC225" s="174"/>
      <c r="AD225" s="361" t="s">
        <v>674</v>
      </c>
      <c r="AE225" s="361" t="s">
        <v>675</v>
      </c>
      <c r="AF225" s="361" t="s">
        <v>676</v>
      </c>
      <c r="AG225" s="361" t="s">
        <v>677</v>
      </c>
      <c r="AH225" s="361" t="s">
        <v>375</v>
      </c>
      <c r="AI225" s="361" t="s">
        <v>678</v>
      </c>
      <c r="AJ225" s="361" t="s">
        <v>679</v>
      </c>
      <c r="AK225" s="174"/>
      <c r="AL225" s="174"/>
      <c r="AM225" s="174"/>
      <c r="AN225" s="174" t="str">
        <f>HLOOKUP(AE212,AD223:AJ234,3,FALSE)</f>
        <v>Tottering</v>
      </c>
      <c r="AO225" s="174"/>
      <c r="AP225" s="174"/>
      <c r="AQ225" s="174"/>
      <c r="AR225" s="217"/>
      <c r="AS225" s="218"/>
    </row>
    <row r="226">
      <c r="A226" s="450"/>
      <c r="B226" s="441">
        <v>0.0</v>
      </c>
      <c r="C226" s="441"/>
      <c r="D226" s="441" t="s">
        <v>24</v>
      </c>
      <c r="E226" s="441" t="s">
        <v>25</v>
      </c>
      <c r="F226" s="441"/>
      <c r="G226" s="441"/>
      <c r="H226" s="441"/>
      <c r="I226" s="441"/>
      <c r="J226" s="441" t="s">
        <v>26</v>
      </c>
      <c r="K226" s="441"/>
      <c r="L226" s="441"/>
      <c r="M226" s="441"/>
      <c r="N226" s="223"/>
      <c r="O226" s="223"/>
      <c r="P226" s="172"/>
      <c r="Q226" s="172"/>
      <c r="R226" s="172"/>
      <c r="S226" s="172"/>
      <c r="T226" s="172"/>
      <c r="U226" s="172"/>
      <c r="V226" s="172"/>
      <c r="W226" s="172"/>
      <c r="X226" s="174"/>
      <c r="Y226" s="174"/>
      <c r="Z226" s="174"/>
      <c r="AA226" s="429"/>
      <c r="AB226" s="223">
        <f>IF(ISBLANK('Armour &amp; Shields'!B42),'Armour &amp; Shields'!I42,'Armour &amp; Shields'!I42*'Armour &amp; Shields'!B42)</f>
        <v>0</v>
      </c>
      <c r="AC226" s="174"/>
      <c r="AD226" s="174"/>
      <c r="AE226" s="174"/>
      <c r="AF226" s="174"/>
      <c r="AG226" s="174"/>
      <c r="AH226" s="174"/>
      <c r="AI226" s="361" t="s">
        <v>680</v>
      </c>
      <c r="AJ226" s="361" t="s">
        <v>681</v>
      </c>
      <c r="AK226" s="174"/>
      <c r="AL226" s="174"/>
      <c r="AM226" s="174"/>
      <c r="AN226" s="174" t="str">
        <f>HLOOKUP(AE212,AD223:AJ234,4,FALSE)</f>
        <v/>
      </c>
      <c r="AO226" s="174"/>
      <c r="AP226" s="174"/>
      <c r="AQ226" s="174"/>
      <c r="AR226" s="217"/>
      <c r="AS226" s="218"/>
    </row>
    <row r="227">
      <c r="A227" s="450"/>
      <c r="B227" s="441">
        <v>0.0</v>
      </c>
      <c r="C227" s="441"/>
      <c r="D227" s="441" t="s">
        <v>24</v>
      </c>
      <c r="E227" s="441" t="s">
        <v>25</v>
      </c>
      <c r="F227" s="441"/>
      <c r="G227" s="441"/>
      <c r="H227" s="441"/>
      <c r="I227" s="441"/>
      <c r="J227" s="441" t="s">
        <v>26</v>
      </c>
      <c r="K227" s="441"/>
      <c r="L227" s="441"/>
      <c r="M227" s="441"/>
      <c r="N227" s="223"/>
      <c r="O227" s="223"/>
      <c r="P227" s="172"/>
      <c r="Q227" s="172"/>
      <c r="R227" s="172"/>
      <c r="S227" s="172"/>
      <c r="T227" s="172"/>
      <c r="U227" s="172"/>
      <c r="V227" s="172"/>
      <c r="W227" s="172"/>
      <c r="X227" s="174"/>
      <c r="Y227" s="174"/>
      <c r="Z227" s="174"/>
      <c r="AA227" s="429"/>
      <c r="AB227" s="223">
        <f>IF(ISBLANK('Armour &amp; Shields'!B43),'Armour &amp; Shields'!I43,'Armour &amp; Shields'!I43*'Armour &amp; Shields'!B43)</f>
        <v>0</v>
      </c>
      <c r="AC227" s="174"/>
      <c r="AD227" s="174"/>
      <c r="AE227" s="174"/>
      <c r="AF227" s="174"/>
      <c r="AG227" s="174"/>
      <c r="AH227" s="174"/>
      <c r="AI227" s="174"/>
      <c r="AJ227" s="174"/>
      <c r="AK227" s="174"/>
      <c r="AL227" s="174"/>
      <c r="AM227" s="174"/>
      <c r="AN227" s="174" t="str">
        <f>HLOOKUP(AE212,AD223:AJ234,5,FALSE)</f>
        <v/>
      </c>
      <c r="AO227" s="174"/>
      <c r="AP227" s="174"/>
      <c r="AQ227" s="174"/>
      <c r="AR227" s="217"/>
      <c r="AS227" s="218"/>
    </row>
    <row r="228">
      <c r="A228" s="450"/>
      <c r="B228" s="441">
        <v>0.0</v>
      </c>
      <c r="C228" s="441"/>
      <c r="D228" s="441" t="s">
        <v>24</v>
      </c>
      <c r="E228" s="441" t="s">
        <v>25</v>
      </c>
      <c r="F228" s="441"/>
      <c r="G228" s="441"/>
      <c r="H228" s="441"/>
      <c r="I228" s="441"/>
      <c r="J228" s="441" t="s">
        <v>26</v>
      </c>
      <c r="K228" s="441"/>
      <c r="L228" s="441"/>
      <c r="M228" s="441"/>
      <c r="N228" s="223"/>
      <c r="O228" s="223"/>
      <c r="P228" s="172"/>
      <c r="Q228" s="172"/>
      <c r="R228" s="172"/>
      <c r="S228" s="172"/>
      <c r="T228" s="172"/>
      <c r="U228" s="172"/>
      <c r="V228" s="172"/>
      <c r="W228" s="172"/>
      <c r="X228" s="174"/>
      <c r="Y228" s="174"/>
      <c r="Z228" s="174"/>
      <c r="AA228" s="429"/>
      <c r="AB228" s="223">
        <f>IF(ISBLANK('Armour &amp; Shields'!B44),'Armour &amp; Shields'!I44,'Armour &amp; Shields'!I44*'Armour &amp; Shields'!B44)</f>
        <v>0</v>
      </c>
      <c r="AC228" s="174"/>
      <c r="AD228" s="174"/>
      <c r="AE228" s="174"/>
      <c r="AF228" s="174"/>
      <c r="AG228" s="174"/>
      <c r="AH228" s="174"/>
      <c r="AI228" s="174"/>
      <c r="AJ228" s="174"/>
      <c r="AK228" s="174"/>
      <c r="AL228" s="174"/>
      <c r="AM228" s="174"/>
      <c r="AN228" s="174" t="str">
        <f>HLOOKUP(AE212,AD223:AJ234,6,FALSE)</f>
        <v/>
      </c>
      <c r="AO228" s="174"/>
      <c r="AP228" s="174"/>
      <c r="AQ228" s="174"/>
      <c r="AR228" s="217"/>
      <c r="AS228" s="218"/>
    </row>
    <row r="229">
      <c r="A229" s="450"/>
      <c r="B229" s="441">
        <v>0.0</v>
      </c>
      <c r="C229" s="441"/>
      <c r="D229" s="441" t="s">
        <v>24</v>
      </c>
      <c r="E229" s="441" t="s">
        <v>25</v>
      </c>
      <c r="F229" s="441"/>
      <c r="G229" s="441"/>
      <c r="H229" s="441"/>
      <c r="I229" s="441"/>
      <c r="J229" s="441" t="s">
        <v>26</v>
      </c>
      <c r="K229" s="441"/>
      <c r="L229" s="441"/>
      <c r="M229" s="441"/>
      <c r="N229" s="223"/>
      <c r="O229" s="223"/>
      <c r="P229" s="172"/>
      <c r="Q229" s="172"/>
      <c r="R229" s="172"/>
      <c r="S229" s="172"/>
      <c r="T229" s="172"/>
      <c r="U229" s="172"/>
      <c r="V229" s="172"/>
      <c r="W229" s="172"/>
      <c r="X229" s="174"/>
      <c r="Y229" s="174"/>
      <c r="Z229" s="174"/>
      <c r="AA229" s="429"/>
      <c r="AB229" s="223">
        <f>IF(ISBLANK('Armour &amp; Shields'!B45),'Armour &amp; Shields'!I45,'Armour &amp; Shields'!I45*'Armour &amp; Shields'!B45)</f>
        <v>0</v>
      </c>
      <c r="AC229" s="174"/>
      <c r="AD229" s="174"/>
      <c r="AE229" s="174"/>
      <c r="AF229" s="174"/>
      <c r="AG229" s="174"/>
      <c r="AH229" s="174"/>
      <c r="AI229" s="174"/>
      <c r="AJ229" s="174"/>
      <c r="AK229" s="174"/>
      <c r="AL229" s="174"/>
      <c r="AM229" s="174"/>
      <c r="AN229" s="174" t="str">
        <f>HLOOKUP(AE212,AD223:AJ234,7,FALSE)</f>
        <v/>
      </c>
      <c r="AO229" s="174"/>
      <c r="AP229" s="174"/>
      <c r="AQ229" s="174"/>
      <c r="AR229" s="217"/>
      <c r="AS229" s="218"/>
    </row>
    <row r="230">
      <c r="A230" s="450"/>
      <c r="B230" s="439" t="s">
        <v>2</v>
      </c>
      <c r="C230" s="438" t="s">
        <v>120</v>
      </c>
      <c r="D230" s="439" t="s">
        <v>4</v>
      </c>
      <c r="E230" s="439" t="s">
        <v>6</v>
      </c>
      <c r="F230" s="439" t="s">
        <v>7</v>
      </c>
      <c r="G230" s="439" t="s">
        <v>8</v>
      </c>
      <c r="H230" s="439" t="s">
        <v>10</v>
      </c>
      <c r="I230" s="439" t="s">
        <v>12</v>
      </c>
      <c r="J230" s="439" t="s">
        <v>14</v>
      </c>
      <c r="K230" s="439" t="s">
        <v>9</v>
      </c>
      <c r="L230" s="439" t="s">
        <v>16</v>
      </c>
      <c r="M230" s="439" t="s">
        <v>17</v>
      </c>
      <c r="N230" s="451" t="s">
        <v>636</v>
      </c>
      <c r="O230" s="223"/>
      <c r="P230" s="172"/>
      <c r="Q230" s="172"/>
      <c r="R230" s="172"/>
      <c r="S230" s="172"/>
      <c r="T230" s="172"/>
      <c r="U230" s="172"/>
      <c r="V230" s="172"/>
      <c r="W230" s="172"/>
      <c r="X230" s="174"/>
      <c r="Y230" s="174"/>
      <c r="Z230" s="174"/>
      <c r="AA230" s="429"/>
      <c r="AB230" s="223">
        <f>IF(ISBLANK('Armour &amp; Shields'!B46),'Armour &amp; Shields'!I46,'Armour &amp; Shields'!I46*'Armour &amp; Shields'!B46)</f>
        <v>0</v>
      </c>
      <c r="AC230" s="174"/>
      <c r="AD230" s="174"/>
      <c r="AE230" s="174"/>
      <c r="AF230" s="174"/>
      <c r="AG230" s="174"/>
      <c r="AH230" s="174"/>
      <c r="AI230" s="174"/>
      <c r="AJ230" s="174"/>
      <c r="AK230" s="174"/>
      <c r="AL230" s="174"/>
      <c r="AM230" s="174"/>
      <c r="AN230" s="174" t="str">
        <f>HLOOKUP(AE212,AD223:AJ234,8,FALSE)</f>
        <v/>
      </c>
      <c r="AO230" s="174"/>
      <c r="AP230" s="174"/>
      <c r="AQ230" s="174"/>
      <c r="AR230" s="217"/>
      <c r="AS230" s="218"/>
    </row>
    <row r="231">
      <c r="A231" s="450"/>
      <c r="B231" s="441">
        <f>IFERROR(__xludf.DUMMYFUNCTION("IF(ISNA(FILTER('Weapons &amp; Gear'!B3:B40,'Weapons &amp; Gear'!B3:B40&lt;&gt;"""")),"""",FILTER('Weapons &amp; Gear'!B3:B40,'Weapons &amp; Gear'!B3:B40&lt;&gt;""""))"),"0")</f>
        <v>0</v>
      </c>
      <c r="C231" s="441" t="str">
        <f>IFERROR(__xludf.DUMMYFUNCTION("IF(ISNA(FILTER('Weapons &amp; Gear'!C3:C40,'Weapons &amp; Gear'!C3:C40&lt;&gt;"""")),"""",FILTER('Weapons &amp; Gear'!C3:C40,'Weapons &amp; Gear'!C3:C40&lt;&gt;""""))"),"")</f>
        <v/>
      </c>
      <c r="D231" s="441" t="str">
        <f>IFERROR(__xludf.DUMMYFUNCTION("IF(ISNA(FILTER('Weapons &amp; Gear'!D3:D40,'Weapons &amp; Gear'!D3:D40&lt;&gt;"""")),"""",FILTER('Weapons &amp; Gear'!D3:D40,'Weapons &amp; Gear'!D3:D40&lt;&gt;""""))"),"Standard")</f>
        <v>Standard</v>
      </c>
      <c r="E231" s="441" t="str">
        <f>IFERROR(__xludf.DUMMYFUNCTION("IF(ISNA(FILTER('Weapons &amp; Gear'!E3:E40,'Weapons &amp; Gear'!E3:E40&lt;&gt;"""")),"""",FILTER('Weapons &amp; Gear'!E3:E40,'Weapons &amp; Gear'!E3:E40&lt;&gt;""""))"),"Untrained")</f>
        <v>Untrained</v>
      </c>
      <c r="F231" s="441" t="str">
        <f>IFERROR(__xludf.DUMMYFUNCTION("IF(ISNA(FILTER('Weapons &amp; Gear'!F3:F40,'Weapons &amp; Gear'!F3:F40&lt;&gt;"""")),"""",FILTER('Weapons &amp; Gear'!F3:F40,'Weapons &amp; Gear'!F3:F40&lt;&gt;""""))"),"")</f>
        <v/>
      </c>
      <c r="G231" s="441" t="str">
        <f>IFERROR(__xludf.DUMMYFUNCTION("IF(ISNA(FILTER('Weapons &amp; Gear'!G3:G40,'Weapons &amp; Gear'!G3:G40&lt;&gt;"""")),"""",FILTER('Weapons &amp; Gear'!G3:G40,'Weapons &amp; Gear'!G3:G40&lt;&gt;""""))"),"-")</f>
        <v>-</v>
      </c>
      <c r="H231" s="441" t="str">
        <f>IFERROR(__xludf.DUMMYFUNCTION("IF(ISNA(FILTER('Weapons &amp; Gear'!H3:H40,'Weapons &amp; Gear'!H3:H40&lt;&gt;"""")),"""",FILTER('Weapons &amp; Gear'!H3:H40,'Weapons &amp; Gear'!H3:H40&lt;&gt;""""))"),"")</f>
        <v/>
      </c>
      <c r="I231" s="441" t="str">
        <f>IFERROR(__xludf.DUMMYFUNCTION("IF(ISNA(FILTER('Weapons &amp; Gear'!I3:I40,'Weapons &amp; Gear'!I3:I40&lt;&gt;"""")),"""",FILTER('Weapons &amp; Gear'!I3:I40,'Weapons &amp; Gear'!I3:I40&lt;&gt;""""))"),"")</f>
        <v/>
      </c>
      <c r="J231" s="441" t="str">
        <f>IFERROR(__xludf.DUMMYFUNCTION("IF(ISNA(FILTER('Weapons &amp; Gear'!J3:J40,'Weapons &amp; Gear'!J3:J40&lt;&gt;"""")),"""",FILTER('Weapons &amp; Gear'!J3:J40,'Weapons &amp; Gear'!J3:J40&lt;&gt;""""))"),"")</f>
        <v/>
      </c>
      <c r="K231" s="441" t="str">
        <f>IFERROR(__xludf.DUMMYFUNCTION("IF(ISNA(FILTER('Weapons &amp; Gear'!K3:K40,'Weapons &amp; Gear'!K3:K40&lt;&gt;"""")),"""",FILTER('Weapons &amp; Gear'!K3:K40,'Weapons &amp; Gear'!K3:K40&lt;&gt;""""))"),"")</f>
        <v/>
      </c>
      <c r="L231" s="441" t="str">
        <f>IFERROR(__xludf.DUMMYFUNCTION("IF(ISNA(FILTER('Weapons &amp; Gear'!L3:L40,'Weapons &amp; Gear'!L3:L40&lt;&gt;"""")),"""",FILTER('Weapons &amp; Gear'!L3:L40,'Weapons &amp; Gear'!L3:L40&lt;&gt;""""))"),"")</f>
        <v/>
      </c>
      <c r="M231" s="441" t="str">
        <f>IFERROR(__xludf.DUMMYFUNCTION("IF(ISNA(FILTER('Weapons &amp; Gear'!M3:M40,'Weapons &amp; Gear'!M3:M40&lt;&gt;"""")),"""",FILTER('Weapons &amp; Gear'!M3:M40,'Weapons &amp; Gear'!M3:M40&lt;&gt;""""))"),"-")</f>
        <v>-</v>
      </c>
      <c r="N231" s="223"/>
      <c r="O231" s="223"/>
      <c r="P231" s="172"/>
      <c r="Q231" s="172"/>
      <c r="R231" s="172"/>
      <c r="S231" s="172"/>
      <c r="T231" s="172"/>
      <c r="U231" s="172"/>
      <c r="V231" s="172"/>
      <c r="W231" s="172"/>
      <c r="X231" s="174"/>
      <c r="Y231" s="174"/>
      <c r="Z231" s="174"/>
      <c r="AA231" s="429"/>
      <c r="AB231" s="223">
        <f>IF(ISBLANK('Armour &amp; Shields'!B47),'Armour &amp; Shields'!I47,'Armour &amp; Shields'!I47*'Armour &amp; Shields'!B47)</f>
        <v>0</v>
      </c>
      <c r="AC231" s="174"/>
      <c r="AD231" s="174"/>
      <c r="AE231" s="174"/>
      <c r="AF231" s="174"/>
      <c r="AG231" s="174"/>
      <c r="AH231" s="174"/>
      <c r="AI231" s="174"/>
      <c r="AJ231" s="174"/>
      <c r="AK231" s="174"/>
      <c r="AL231" s="174"/>
      <c r="AM231" s="174"/>
      <c r="AN231" s="174" t="str">
        <f>HLOOKUP(AE212,AD223:AJ234,9,FALSE)</f>
        <v/>
      </c>
      <c r="AO231" s="174"/>
      <c r="AP231" s="174"/>
      <c r="AQ231" s="174"/>
      <c r="AR231" s="217"/>
      <c r="AS231" s="218"/>
    </row>
    <row r="232">
      <c r="A232" s="450"/>
      <c r="B232" s="441">
        <v>0.0</v>
      </c>
      <c r="C232" s="441"/>
      <c r="D232" s="441" t="s">
        <v>24</v>
      </c>
      <c r="E232" s="441" t="s">
        <v>25</v>
      </c>
      <c r="F232" s="441"/>
      <c r="G232" s="441" t="s">
        <v>26</v>
      </c>
      <c r="H232" s="441"/>
      <c r="I232" s="441"/>
      <c r="J232" s="441"/>
      <c r="K232" s="441"/>
      <c r="L232" s="441"/>
      <c r="M232" s="441" t="s">
        <v>26</v>
      </c>
      <c r="N232" s="223"/>
      <c r="O232" s="223"/>
      <c r="P232" s="172"/>
      <c r="Q232" s="172"/>
      <c r="R232" s="172"/>
      <c r="S232" s="172"/>
      <c r="T232" s="172"/>
      <c r="U232" s="172"/>
      <c r="V232" s="172"/>
      <c r="W232" s="172"/>
      <c r="X232" s="174"/>
      <c r="Y232" s="174"/>
      <c r="Z232" s="174"/>
      <c r="AA232" s="429"/>
      <c r="AB232" s="223">
        <f>IF(ISBLANK('Armour &amp; Shields'!B48),'Armour &amp; Shields'!I48,'Armour &amp; Shields'!I48*'Armour &amp; Shields'!B48)</f>
        <v>0</v>
      </c>
      <c r="AC232" s="174"/>
      <c r="AD232" s="174"/>
      <c r="AE232" s="174"/>
      <c r="AF232" s="174"/>
      <c r="AG232" s="174"/>
      <c r="AH232" s="174"/>
      <c r="AI232" s="174"/>
      <c r="AJ232" s="174"/>
      <c r="AK232" s="174"/>
      <c r="AL232" s="174"/>
      <c r="AM232" s="174"/>
      <c r="AN232" s="174"/>
      <c r="AO232" s="174"/>
      <c r="AP232" s="174"/>
      <c r="AQ232" s="174"/>
      <c r="AR232" s="217"/>
      <c r="AS232" s="218"/>
    </row>
    <row r="233">
      <c r="A233" s="450"/>
      <c r="B233" s="441">
        <v>0.0</v>
      </c>
      <c r="C233" s="441"/>
      <c r="D233" s="441" t="s">
        <v>24</v>
      </c>
      <c r="E233" s="441" t="s">
        <v>25</v>
      </c>
      <c r="F233" s="441"/>
      <c r="G233" s="441" t="s">
        <v>26</v>
      </c>
      <c r="H233" s="441"/>
      <c r="I233" s="441"/>
      <c r="J233" s="441"/>
      <c r="K233" s="441"/>
      <c r="L233" s="441"/>
      <c r="M233" s="441" t="s">
        <v>26</v>
      </c>
      <c r="N233" s="223"/>
      <c r="O233" s="223"/>
      <c r="P233" s="172"/>
      <c r="Q233" s="172"/>
      <c r="R233" s="172"/>
      <c r="S233" s="172"/>
      <c r="T233" s="172"/>
      <c r="U233" s="172"/>
      <c r="V233" s="172"/>
      <c r="W233" s="172"/>
      <c r="X233" s="174"/>
      <c r="Y233" s="174"/>
      <c r="Z233" s="174"/>
      <c r="AA233" s="429"/>
      <c r="AB233" s="223">
        <f>IF(ISBLANK('Armour &amp; Shields'!B49),'Armour &amp; Shields'!I49,'Armour &amp; Shields'!I49*'Armour &amp; Shields'!B49)</f>
        <v>0</v>
      </c>
      <c r="AC233" s="174"/>
      <c r="AD233" s="174"/>
      <c r="AE233" s="174"/>
      <c r="AF233" s="174"/>
      <c r="AG233" s="174"/>
      <c r="AH233" s="174"/>
      <c r="AI233" s="174"/>
      <c r="AJ233" s="174"/>
      <c r="AK233" s="174"/>
      <c r="AL233" s="174"/>
      <c r="AM233" s="174"/>
      <c r="AN233" s="174"/>
      <c r="AO233" s="174"/>
      <c r="AP233" s="174"/>
      <c r="AQ233" s="174"/>
      <c r="AR233" s="217"/>
      <c r="AS233" s="218"/>
    </row>
    <row r="234">
      <c r="A234" s="450"/>
      <c r="B234" s="441">
        <v>0.0</v>
      </c>
      <c r="C234" s="441"/>
      <c r="D234" s="441" t="s">
        <v>24</v>
      </c>
      <c r="E234" s="441" t="s">
        <v>25</v>
      </c>
      <c r="F234" s="441"/>
      <c r="G234" s="441" t="s">
        <v>26</v>
      </c>
      <c r="H234" s="441"/>
      <c r="I234" s="441"/>
      <c r="J234" s="441"/>
      <c r="K234" s="441"/>
      <c r="L234" s="441"/>
      <c r="M234" s="441" t="s">
        <v>26</v>
      </c>
      <c r="N234" s="223"/>
      <c r="O234" s="223"/>
      <c r="P234" s="172"/>
      <c r="Q234" s="172"/>
      <c r="R234" s="172"/>
      <c r="S234" s="172"/>
      <c r="T234" s="172"/>
      <c r="U234" s="172"/>
      <c r="V234" s="172"/>
      <c r="W234" s="172"/>
      <c r="X234" s="174"/>
      <c r="Y234" s="174"/>
      <c r="Z234" s="174"/>
      <c r="AA234" s="429"/>
      <c r="AB234" s="223">
        <f>IF(ISBLANK('Armour &amp; Shields'!B50),'Armour &amp; Shields'!I50,'Armour &amp; Shields'!I50*'Armour &amp; Shields'!B50)</f>
        <v>0</v>
      </c>
      <c r="AC234" s="174"/>
      <c r="AD234" s="174"/>
      <c r="AE234" s="174"/>
      <c r="AF234" s="174"/>
      <c r="AG234" s="174"/>
      <c r="AH234" s="174"/>
      <c r="AI234" s="174"/>
      <c r="AJ234" s="174"/>
      <c r="AK234" s="174"/>
      <c r="AL234" s="174"/>
      <c r="AM234" s="174"/>
      <c r="AN234" s="174"/>
      <c r="AO234" s="174"/>
      <c r="AP234" s="174"/>
      <c r="AQ234" s="174"/>
      <c r="AR234" s="217"/>
      <c r="AS234" s="218"/>
    </row>
    <row r="235">
      <c r="A235" s="450"/>
      <c r="B235" s="441">
        <v>0.0</v>
      </c>
      <c r="C235" s="441"/>
      <c r="D235" s="441" t="s">
        <v>24</v>
      </c>
      <c r="E235" s="441" t="s">
        <v>25</v>
      </c>
      <c r="F235" s="441"/>
      <c r="G235" s="441" t="s">
        <v>26</v>
      </c>
      <c r="H235" s="441"/>
      <c r="I235" s="441"/>
      <c r="J235" s="441"/>
      <c r="K235" s="441"/>
      <c r="L235" s="441"/>
      <c r="M235" s="441" t="s">
        <v>26</v>
      </c>
      <c r="N235" s="223"/>
      <c r="O235" s="223"/>
      <c r="P235" s="172"/>
      <c r="Q235" s="172"/>
      <c r="R235" s="172"/>
      <c r="S235" s="175"/>
      <c r="T235" s="172"/>
      <c r="U235" s="172"/>
      <c r="V235" s="172"/>
      <c r="W235" s="172"/>
      <c r="X235" s="174"/>
      <c r="Y235" s="174"/>
      <c r="Z235" s="174"/>
      <c r="AA235" s="429"/>
      <c r="AB235" s="223">
        <f>IF(ISBLANK('Armour &amp; Shields'!B51),'Armour &amp; Shields'!I51,'Armour &amp; Shields'!I51*'Armour &amp; Shields'!B51)</f>
        <v>0</v>
      </c>
      <c r="AC235" s="359"/>
      <c r="AD235" s="359"/>
      <c r="AE235" s="359"/>
      <c r="AF235" s="359"/>
      <c r="AG235" s="359"/>
      <c r="AH235" s="359"/>
      <c r="AI235" s="359"/>
      <c r="AJ235" s="359"/>
      <c r="AK235" s="359"/>
      <c r="AL235" s="359"/>
      <c r="AM235" s="359"/>
      <c r="AN235" s="359"/>
      <c r="AO235" s="359"/>
      <c r="AP235" s="359"/>
      <c r="AQ235" s="174"/>
      <c r="AR235" s="217"/>
      <c r="AS235" s="218"/>
    </row>
    <row r="236">
      <c r="A236" s="450"/>
      <c r="B236" s="441">
        <v>0.0</v>
      </c>
      <c r="C236" s="441"/>
      <c r="D236" s="441" t="s">
        <v>24</v>
      </c>
      <c r="E236" s="441" t="s">
        <v>25</v>
      </c>
      <c r="F236" s="441"/>
      <c r="G236" s="441" t="s">
        <v>26</v>
      </c>
      <c r="H236" s="441"/>
      <c r="I236" s="441"/>
      <c r="J236" s="441"/>
      <c r="K236" s="441"/>
      <c r="L236" s="441"/>
      <c r="M236" s="441" t="s">
        <v>26</v>
      </c>
      <c r="N236" s="224"/>
      <c r="O236" s="223"/>
      <c r="P236" s="172"/>
      <c r="Q236" s="175"/>
      <c r="R236" s="172"/>
      <c r="S236" s="172"/>
      <c r="T236" s="172"/>
      <c r="U236" s="172"/>
      <c r="V236" s="172"/>
      <c r="W236" s="172"/>
      <c r="X236" s="174"/>
      <c r="Y236" s="174"/>
      <c r="Z236" s="174"/>
      <c r="AA236" s="429"/>
      <c r="AB236" s="223">
        <f>IF(ISBLANK('Armour &amp; Shields'!B52),'Armour &amp; Shields'!I52,'Armour &amp; Shields'!I52*'Armour &amp; Shields'!B52)</f>
        <v>0</v>
      </c>
      <c r="AC236" s="359"/>
      <c r="AD236" s="448" t="s">
        <v>56</v>
      </c>
      <c r="AE236" s="452"/>
      <c r="AF236" s="452"/>
      <c r="AG236" s="452"/>
      <c r="AH236" s="452"/>
      <c r="AI236" s="452"/>
      <c r="AJ236" s="452"/>
      <c r="AK236" s="448" t="s">
        <v>63</v>
      </c>
      <c r="AL236" s="448" t="s">
        <v>64</v>
      </c>
      <c r="AM236" s="448" t="s">
        <v>65</v>
      </c>
      <c r="AN236" s="359"/>
      <c r="AO236" s="359"/>
      <c r="AP236" s="359"/>
      <c r="AQ236" s="174"/>
      <c r="AR236" s="217"/>
      <c r="AS236" s="218"/>
    </row>
    <row r="237">
      <c r="A237" s="450"/>
      <c r="B237" s="441">
        <v>0.0</v>
      </c>
      <c r="C237" s="441"/>
      <c r="D237" s="441" t="s">
        <v>24</v>
      </c>
      <c r="E237" s="441" t="s">
        <v>25</v>
      </c>
      <c r="F237" s="441"/>
      <c r="G237" s="441" t="s">
        <v>26</v>
      </c>
      <c r="H237" s="441"/>
      <c r="I237" s="441"/>
      <c r="J237" s="441"/>
      <c r="K237" s="441"/>
      <c r="L237" s="441"/>
      <c r="M237" s="441" t="s">
        <v>26</v>
      </c>
      <c r="N237" s="223"/>
      <c r="O237" s="223"/>
      <c r="P237" s="172"/>
      <c r="Q237" s="172"/>
      <c r="R237" s="172"/>
      <c r="S237" s="172"/>
      <c r="T237" s="172"/>
      <c r="U237" s="172"/>
      <c r="V237" s="172"/>
      <c r="W237" s="172"/>
      <c r="X237" s="174"/>
      <c r="Y237" s="174"/>
      <c r="Z237" s="174"/>
      <c r="AA237" s="429"/>
      <c r="AB237" s="223">
        <f>IF(ISBLANK('Armour &amp; Shields'!B53),'Armour &amp; Shields'!I53,'Armour &amp; Shields'!I53*'Armour &amp; Shields'!B53)</f>
        <v>0</v>
      </c>
      <c r="AC237" s="359"/>
      <c r="AD237" s="359"/>
      <c r="AE237" s="359"/>
      <c r="AF237" s="359"/>
      <c r="AG237" s="359"/>
      <c r="AH237" s="448"/>
      <c r="AI237" s="359"/>
      <c r="AJ237" s="359"/>
      <c r="AK237" s="359"/>
      <c r="AL237" s="359"/>
      <c r="AM237" s="359"/>
      <c r="AN237" s="359"/>
      <c r="AO237" s="359"/>
      <c r="AP237" s="359"/>
      <c r="AQ237" s="174"/>
      <c r="AR237" s="217"/>
      <c r="AS237" s="218"/>
    </row>
    <row r="238">
      <c r="A238" s="450"/>
      <c r="B238" s="441">
        <v>0.0</v>
      </c>
      <c r="C238" s="441"/>
      <c r="D238" s="441" t="s">
        <v>24</v>
      </c>
      <c r="E238" s="441" t="s">
        <v>25</v>
      </c>
      <c r="F238" s="441"/>
      <c r="G238" s="441" t="s">
        <v>26</v>
      </c>
      <c r="H238" s="441"/>
      <c r="I238" s="441"/>
      <c r="J238" s="441"/>
      <c r="K238" s="441"/>
      <c r="L238" s="441"/>
      <c r="M238" s="441" t="s">
        <v>26</v>
      </c>
      <c r="N238" s="223"/>
      <c r="O238" s="223"/>
      <c r="P238" s="172"/>
      <c r="Q238" s="172"/>
      <c r="R238" s="172"/>
      <c r="S238" s="172"/>
      <c r="T238" s="172"/>
      <c r="U238" s="172"/>
      <c r="V238" s="172"/>
      <c r="W238" s="172"/>
      <c r="X238" s="174"/>
      <c r="Y238" s="174"/>
      <c r="Z238" s="174"/>
      <c r="AA238" s="429"/>
      <c r="AB238" s="429"/>
      <c r="AC238" s="359"/>
      <c r="AD238" s="359"/>
      <c r="AE238" s="448" t="s">
        <v>60</v>
      </c>
      <c r="AF238" s="359">
        <f t="shared" ref="AF238:AF255" si="52">IF(E58="-",0,-1)</f>
        <v>0</v>
      </c>
      <c r="AG238" s="359">
        <f t="shared" ref="AG238:AG255" si="53">IF(F58="-",0,-2)</f>
        <v>0</v>
      </c>
      <c r="AH238" s="359">
        <f t="shared" ref="AH238:AH255" si="54">IF(G58="-",0,-3)</f>
        <v>0</v>
      </c>
      <c r="AI238" s="359">
        <f t="shared" ref="AI238:AI255" si="55">MIN(AF238:AH238)</f>
        <v>0</v>
      </c>
      <c r="AJ238" s="359">
        <f>IF($AI$33+AI238&lt;0,0,AI238)</f>
        <v>0</v>
      </c>
      <c r="AK238" s="359"/>
      <c r="AL238" s="359"/>
      <c r="AM238" s="359"/>
      <c r="AN238" s="359"/>
      <c r="AO238" s="359"/>
      <c r="AP238" s="359"/>
      <c r="AQ238" s="174"/>
      <c r="AR238" s="217"/>
      <c r="AS238" s="218"/>
    </row>
    <row r="239">
      <c r="A239" s="450"/>
      <c r="B239" s="441">
        <v>0.0</v>
      </c>
      <c r="C239" s="441"/>
      <c r="D239" s="441" t="s">
        <v>24</v>
      </c>
      <c r="E239" s="441" t="s">
        <v>25</v>
      </c>
      <c r="F239" s="441"/>
      <c r="G239" s="441" t="s">
        <v>26</v>
      </c>
      <c r="H239" s="441"/>
      <c r="I239" s="441"/>
      <c r="J239" s="441"/>
      <c r="K239" s="441"/>
      <c r="L239" s="441"/>
      <c r="M239" s="441" t="s">
        <v>26</v>
      </c>
      <c r="N239" s="223"/>
      <c r="O239" s="223"/>
      <c r="P239" s="172"/>
      <c r="Q239" s="172"/>
      <c r="R239" s="172"/>
      <c r="S239" s="172"/>
      <c r="T239" s="172"/>
      <c r="U239" s="172"/>
      <c r="V239" s="172"/>
      <c r="W239" s="172"/>
      <c r="X239" s="174"/>
      <c r="Y239" s="174"/>
      <c r="Z239" s="174"/>
      <c r="AA239" s="429"/>
      <c r="AB239" s="429"/>
      <c r="AC239" s="359"/>
      <c r="AD239" s="359"/>
      <c r="AE239" s="448" t="s">
        <v>62</v>
      </c>
      <c r="AF239" s="359">
        <f t="shared" si="52"/>
        <v>0</v>
      </c>
      <c r="AG239" s="359">
        <f t="shared" si="53"/>
        <v>0</v>
      </c>
      <c r="AH239" s="359">
        <f t="shared" si="54"/>
        <v>0</v>
      </c>
      <c r="AI239" s="359">
        <f t="shared" si="55"/>
        <v>0</v>
      </c>
      <c r="AJ239" s="359">
        <f>IF(AF35+AI239&lt;0,0,AI239)</f>
        <v>0</v>
      </c>
      <c r="AK239" s="359"/>
      <c r="AL239" s="359"/>
      <c r="AM239" s="359"/>
      <c r="AN239" s="359"/>
      <c r="AO239" s="359"/>
      <c r="AP239" s="359"/>
      <c r="AQ239" s="174"/>
      <c r="AR239" s="217"/>
      <c r="AS239" s="218"/>
    </row>
    <row r="240">
      <c r="A240" s="450"/>
      <c r="B240" s="441">
        <v>0.0</v>
      </c>
      <c r="C240" s="441"/>
      <c r="D240" s="441" t="s">
        <v>24</v>
      </c>
      <c r="E240" s="441" t="s">
        <v>25</v>
      </c>
      <c r="F240" s="441"/>
      <c r="G240" s="441" t="s">
        <v>26</v>
      </c>
      <c r="H240" s="441"/>
      <c r="I240" s="441"/>
      <c r="J240" s="441"/>
      <c r="K240" s="441"/>
      <c r="L240" s="441"/>
      <c r="M240" s="441" t="s">
        <v>26</v>
      </c>
      <c r="N240" s="223"/>
      <c r="O240" s="223"/>
      <c r="P240" s="172"/>
      <c r="Q240" s="172"/>
      <c r="R240" s="172"/>
      <c r="S240" s="172"/>
      <c r="T240" s="172"/>
      <c r="U240" s="172"/>
      <c r="V240" s="172"/>
      <c r="W240" s="172"/>
      <c r="X240" s="174"/>
      <c r="Y240" s="174"/>
      <c r="Z240" s="174"/>
      <c r="AA240" s="429"/>
      <c r="AB240" s="223">
        <f>IF(ISBLANK('Armour &amp; Shields'!L24),'Armour &amp; Shields'!Q24,'Armour &amp; Shields'!Q24*'Armour &amp; Shields'!L24)</f>
        <v>0</v>
      </c>
      <c r="AC240" s="359"/>
      <c r="AD240" s="359"/>
      <c r="AE240" s="448" t="s">
        <v>59</v>
      </c>
      <c r="AF240" s="359">
        <f t="shared" si="52"/>
        <v>0</v>
      </c>
      <c r="AG240" s="359">
        <f t="shared" si="53"/>
        <v>0</v>
      </c>
      <c r="AH240" s="359">
        <f t="shared" si="54"/>
        <v>0</v>
      </c>
      <c r="AI240" s="359">
        <f t="shared" si="55"/>
        <v>0</v>
      </c>
      <c r="AJ240" s="359">
        <f>IF(AH33+AI240&lt;0,0,AI240)</f>
        <v>0</v>
      </c>
      <c r="AK240" s="359"/>
      <c r="AL240" s="359"/>
      <c r="AM240" s="359"/>
      <c r="AN240" s="359"/>
      <c r="AO240" s="359"/>
      <c r="AP240" s="359"/>
      <c r="AQ240" s="174"/>
      <c r="AR240" s="217"/>
      <c r="AS240" s="218"/>
    </row>
    <row r="241">
      <c r="A241" s="450"/>
      <c r="B241" s="441">
        <v>0.0</v>
      </c>
      <c r="C241" s="441"/>
      <c r="D241" s="441" t="s">
        <v>24</v>
      </c>
      <c r="E241" s="441" t="s">
        <v>25</v>
      </c>
      <c r="F241" s="441"/>
      <c r="G241" s="441" t="s">
        <v>26</v>
      </c>
      <c r="H241" s="441"/>
      <c r="I241" s="441"/>
      <c r="J241" s="441"/>
      <c r="K241" s="441"/>
      <c r="L241" s="441"/>
      <c r="M241" s="441" t="s">
        <v>26</v>
      </c>
      <c r="N241" s="224"/>
      <c r="O241" s="223"/>
      <c r="P241" s="172"/>
      <c r="Q241" s="172"/>
      <c r="R241" s="172"/>
      <c r="S241" s="172"/>
      <c r="T241" s="172"/>
      <c r="U241" s="172"/>
      <c r="V241" s="172"/>
      <c r="W241" s="172"/>
      <c r="X241" s="174"/>
      <c r="Y241" s="174"/>
      <c r="Z241" s="174"/>
      <c r="AA241" s="429"/>
      <c r="AB241" s="223">
        <f>IF(ISBLANK('Armour &amp; Shields'!L25),'Armour &amp; Shields'!Q25,'Armour &amp; Shields'!Q25*'Armour &amp; Shields'!L25)</f>
        <v>0</v>
      </c>
      <c r="AC241" s="359"/>
      <c r="AD241" s="359"/>
      <c r="AE241" s="448" t="s">
        <v>58</v>
      </c>
      <c r="AF241" s="359">
        <f t="shared" si="52"/>
        <v>0</v>
      </c>
      <c r="AG241" s="359">
        <f t="shared" si="53"/>
        <v>0</v>
      </c>
      <c r="AH241" s="359">
        <f t="shared" si="54"/>
        <v>0</v>
      </c>
      <c r="AI241" s="359">
        <f t="shared" si="55"/>
        <v>0</v>
      </c>
      <c r="AJ241" s="359">
        <f>IF(AG33+AI241&lt;0,0,AI241)</f>
        <v>0</v>
      </c>
      <c r="AK241" s="359"/>
      <c r="AL241" s="359"/>
      <c r="AM241" s="359"/>
      <c r="AN241" s="359"/>
      <c r="AO241" s="359"/>
      <c r="AP241" s="359"/>
      <c r="AQ241" s="174"/>
      <c r="AR241" s="217"/>
      <c r="AS241" s="218"/>
    </row>
    <row r="242">
      <c r="A242" s="450"/>
      <c r="B242" s="223">
        <v>0.0</v>
      </c>
      <c r="C242" s="223"/>
      <c r="D242" s="223" t="s">
        <v>24</v>
      </c>
      <c r="E242" s="223" t="s">
        <v>25</v>
      </c>
      <c r="F242" s="223"/>
      <c r="G242" s="223" t="s">
        <v>26</v>
      </c>
      <c r="H242" s="223"/>
      <c r="I242" s="223"/>
      <c r="J242" s="223"/>
      <c r="K242" s="223"/>
      <c r="L242" s="223"/>
      <c r="M242" s="223" t="s">
        <v>26</v>
      </c>
      <c r="N242" s="223"/>
      <c r="O242" s="223"/>
      <c r="P242" s="172"/>
      <c r="Q242" s="172"/>
      <c r="R242" s="172"/>
      <c r="S242" s="172"/>
      <c r="T242" s="172"/>
      <c r="U242" s="172"/>
      <c r="V242" s="172"/>
      <c r="W242" s="172"/>
      <c r="X242" s="174"/>
      <c r="Y242" s="174"/>
      <c r="Z242" s="174"/>
      <c r="AA242" s="429"/>
      <c r="AB242" s="223">
        <f>IF(ISBLANK('Armour &amp; Shields'!L26),'Armour &amp; Shields'!Q26,'Armour &amp; Shields'!Q26*'Armour &amp; Shields'!L26)</f>
        <v>0</v>
      </c>
      <c r="AC242" s="359"/>
      <c r="AD242" s="359"/>
      <c r="AE242" s="448" t="s">
        <v>59</v>
      </c>
      <c r="AF242" s="359">
        <f t="shared" si="52"/>
        <v>0</v>
      </c>
      <c r="AG242" s="359">
        <f t="shared" si="53"/>
        <v>0</v>
      </c>
      <c r="AH242" s="359">
        <f t="shared" si="54"/>
        <v>0</v>
      </c>
      <c r="AI242" s="359">
        <f t="shared" si="55"/>
        <v>0</v>
      </c>
      <c r="AJ242" s="359">
        <f>IF(AH33+AI242&lt;0,0,AI242)</f>
        <v>0</v>
      </c>
      <c r="AK242" s="359"/>
      <c r="AL242" s="359"/>
      <c r="AM242" s="359"/>
      <c r="AN242" s="359"/>
      <c r="AO242" s="359"/>
      <c r="AP242" s="359"/>
      <c r="AQ242" s="174"/>
      <c r="AR242" s="217"/>
      <c r="AS242" s="218"/>
    </row>
    <row r="243">
      <c r="A243" s="450"/>
      <c r="B243" s="223">
        <v>0.0</v>
      </c>
      <c r="C243" s="223"/>
      <c r="D243" s="223" t="s">
        <v>24</v>
      </c>
      <c r="E243" s="223" t="s">
        <v>25</v>
      </c>
      <c r="F243" s="223"/>
      <c r="G243" s="223" t="s">
        <v>26</v>
      </c>
      <c r="H243" s="223"/>
      <c r="I243" s="223"/>
      <c r="J243" s="223"/>
      <c r="K243" s="223"/>
      <c r="L243" s="224"/>
      <c r="M243" s="223" t="s">
        <v>26</v>
      </c>
      <c r="N243" s="223"/>
      <c r="O243" s="223"/>
      <c r="P243" s="172"/>
      <c r="Q243" s="175"/>
      <c r="R243" s="172"/>
      <c r="S243" s="172"/>
      <c r="T243" s="172"/>
      <c r="U243" s="172"/>
      <c r="V243" s="172"/>
      <c r="W243" s="172"/>
      <c r="X243" s="174"/>
      <c r="Y243" s="174"/>
      <c r="Z243" s="174"/>
      <c r="AA243" s="429"/>
      <c r="AB243" s="223">
        <f>IF(ISBLANK('Armour &amp; Shields'!L27),'Armour &amp; Shields'!Q27,'Armour &amp; Shields'!Q27*'Armour &amp; Shields'!L27)</f>
        <v>0</v>
      </c>
      <c r="AC243" s="359"/>
      <c r="AD243" s="359"/>
      <c r="AE243" s="359"/>
      <c r="AF243" s="359">
        <f t="shared" si="52"/>
        <v>0</v>
      </c>
      <c r="AG243" s="359">
        <f t="shared" si="53"/>
        <v>0</v>
      </c>
      <c r="AH243" s="359">
        <f t="shared" si="54"/>
        <v>0</v>
      </c>
      <c r="AI243" s="359">
        <f t="shared" si="55"/>
        <v>0</v>
      </c>
      <c r="AJ243" s="359">
        <f>IF($AI$33+AI243&lt;0,0,AI243)</f>
        <v>0</v>
      </c>
      <c r="AK243" s="359"/>
      <c r="AL243" s="359"/>
      <c r="AM243" s="359"/>
      <c r="AN243" s="359"/>
      <c r="AO243" s="359"/>
      <c r="AP243" s="359"/>
      <c r="AQ243" s="174"/>
      <c r="AR243" s="217"/>
      <c r="AS243" s="218"/>
    </row>
    <row r="244">
      <c r="A244" s="450"/>
      <c r="B244" s="223">
        <v>0.0</v>
      </c>
      <c r="C244" s="223"/>
      <c r="D244" s="223" t="s">
        <v>24</v>
      </c>
      <c r="E244" s="223" t="s">
        <v>25</v>
      </c>
      <c r="F244" s="223"/>
      <c r="G244" s="223" t="s">
        <v>26</v>
      </c>
      <c r="H244" s="223"/>
      <c r="I244" s="223"/>
      <c r="J244" s="223"/>
      <c r="K244" s="223"/>
      <c r="L244" s="223"/>
      <c r="M244" s="223" t="s">
        <v>26</v>
      </c>
      <c r="N244" s="223"/>
      <c r="O244" s="223"/>
      <c r="P244" s="223"/>
      <c r="Q244" s="223"/>
      <c r="R244" s="223"/>
      <c r="S244" s="223"/>
      <c r="T244" s="223"/>
      <c r="U244" s="174"/>
      <c r="V244" s="174"/>
      <c r="W244" s="174"/>
      <c r="X244" s="174"/>
      <c r="Y244" s="174"/>
      <c r="Z244" s="174"/>
      <c r="AA244" s="429"/>
      <c r="AB244" s="223">
        <f>IF(ISBLANK('Armour &amp; Shields'!L28),'Armour &amp; Shields'!Q28,'Armour &amp; Shields'!Q28*'Armour &amp; Shields'!L28)</f>
        <v>0</v>
      </c>
      <c r="AC244" s="359"/>
      <c r="AD244" s="359"/>
      <c r="AE244" s="448" t="s">
        <v>61</v>
      </c>
      <c r="AF244" s="359">
        <f t="shared" si="52"/>
        <v>0</v>
      </c>
      <c r="AG244" s="359">
        <f t="shared" si="53"/>
        <v>0</v>
      </c>
      <c r="AH244" s="359">
        <f t="shared" si="54"/>
        <v>0</v>
      </c>
      <c r="AI244" s="359">
        <f t="shared" si="55"/>
        <v>0</v>
      </c>
      <c r="AJ244" s="359">
        <f>IF(AE35+AI244&lt;0,0,AI244)</f>
        <v>0</v>
      </c>
      <c r="AK244" s="359"/>
      <c r="AL244" s="359"/>
      <c r="AM244" s="359"/>
      <c r="AN244" s="359"/>
      <c r="AO244" s="359"/>
      <c r="AP244" s="359"/>
      <c r="AQ244" s="174"/>
      <c r="AR244" s="217"/>
      <c r="AS244" s="218"/>
    </row>
    <row r="245">
      <c r="A245" s="450"/>
      <c r="B245" s="223">
        <v>0.0</v>
      </c>
      <c r="C245" s="223"/>
      <c r="D245" s="223" t="s">
        <v>24</v>
      </c>
      <c r="E245" s="223" t="s">
        <v>25</v>
      </c>
      <c r="F245" s="223"/>
      <c r="G245" s="223" t="s">
        <v>26</v>
      </c>
      <c r="H245" s="223"/>
      <c r="I245" s="223"/>
      <c r="J245" s="223"/>
      <c r="K245" s="223"/>
      <c r="L245" s="224"/>
      <c r="M245" s="223" t="s">
        <v>26</v>
      </c>
      <c r="N245" s="223"/>
      <c r="O245" s="223"/>
      <c r="P245" s="223"/>
      <c r="Q245" s="223"/>
      <c r="R245" s="223"/>
      <c r="S245" s="223"/>
      <c r="T245" s="223"/>
      <c r="U245" s="174"/>
      <c r="V245" s="174"/>
      <c r="W245" s="174"/>
      <c r="X245" s="174"/>
      <c r="Y245" s="174"/>
      <c r="Z245" s="174"/>
      <c r="AA245" s="429"/>
      <c r="AB245" s="223">
        <f>IF(ISBLANK('Armour &amp; Shields'!L29),'Armour &amp; Shields'!Q29,'Armour &amp; Shields'!Q29*'Armour &amp; Shields'!L29)</f>
        <v>0</v>
      </c>
      <c r="AC245" s="359"/>
      <c r="AD245" s="359"/>
      <c r="AE245" s="359"/>
      <c r="AF245" s="359">
        <f t="shared" si="52"/>
        <v>0</v>
      </c>
      <c r="AG245" s="359">
        <f t="shared" si="53"/>
        <v>0</v>
      </c>
      <c r="AH245" s="359">
        <f t="shared" si="54"/>
        <v>0</v>
      </c>
      <c r="AI245" s="359">
        <f t="shared" si="55"/>
        <v>0</v>
      </c>
      <c r="AJ245" s="359">
        <f>IF($AI$33+AI245&lt;0,0,AI245)</f>
        <v>0</v>
      </c>
      <c r="AK245" s="359"/>
      <c r="AL245" s="359"/>
      <c r="AM245" s="359"/>
      <c r="AN245" s="359"/>
      <c r="AO245" s="359"/>
      <c r="AP245" s="359"/>
      <c r="AQ245" s="174"/>
      <c r="AR245" s="217"/>
      <c r="AS245" s="218"/>
    </row>
    <row r="246">
      <c r="A246" s="450"/>
      <c r="B246" s="223">
        <v>0.0</v>
      </c>
      <c r="C246" s="223"/>
      <c r="D246" s="223" t="s">
        <v>24</v>
      </c>
      <c r="E246" s="223" t="s">
        <v>25</v>
      </c>
      <c r="F246" s="223"/>
      <c r="G246" s="223" t="s">
        <v>26</v>
      </c>
      <c r="H246" s="223"/>
      <c r="I246" s="223"/>
      <c r="J246" s="223"/>
      <c r="K246" s="223"/>
      <c r="L246" s="223"/>
      <c r="M246" s="223" t="s">
        <v>26</v>
      </c>
      <c r="N246" s="223"/>
      <c r="O246" s="223"/>
      <c r="P246" s="223"/>
      <c r="Q246" s="223"/>
      <c r="R246" s="223"/>
      <c r="S246" s="223"/>
      <c r="T246" s="223"/>
      <c r="U246" s="174"/>
      <c r="V246" s="174"/>
      <c r="W246" s="174"/>
      <c r="X246" s="174"/>
      <c r="Y246" s="174"/>
      <c r="Z246" s="174"/>
      <c r="AA246" s="429"/>
      <c r="AB246" s="223">
        <f>IF(ISBLANK('Armour &amp; Shields'!L30),'Armour &amp; Shields'!Q30,'Armour &amp; Shields'!Q30*'Armour &amp; Shields'!L30)</f>
        <v>0</v>
      </c>
      <c r="AC246" s="359"/>
      <c r="AD246" s="359"/>
      <c r="AE246" s="448" t="s">
        <v>58</v>
      </c>
      <c r="AF246" s="359">
        <f t="shared" si="52"/>
        <v>0</v>
      </c>
      <c r="AG246" s="359">
        <f t="shared" si="53"/>
        <v>0</v>
      </c>
      <c r="AH246" s="359">
        <f t="shared" si="54"/>
        <v>0</v>
      </c>
      <c r="AI246" s="359">
        <f t="shared" si="55"/>
        <v>0</v>
      </c>
      <c r="AJ246" s="359">
        <f>IF(AG33+AI246&lt;0,0,AI246)</f>
        <v>0</v>
      </c>
      <c r="AK246" s="359"/>
      <c r="AL246" s="359"/>
      <c r="AM246" s="359"/>
      <c r="AN246" s="359"/>
      <c r="AO246" s="359"/>
      <c r="AP246" s="359"/>
      <c r="AQ246" s="174"/>
      <c r="AR246" s="217"/>
      <c r="AS246" s="218"/>
    </row>
    <row r="247">
      <c r="A247" s="450"/>
      <c r="B247" s="223">
        <v>0.0</v>
      </c>
      <c r="C247" s="223"/>
      <c r="D247" s="223" t="s">
        <v>24</v>
      </c>
      <c r="E247" s="223" t="s">
        <v>25</v>
      </c>
      <c r="F247" s="223"/>
      <c r="G247" s="223" t="s">
        <v>26</v>
      </c>
      <c r="H247" s="223"/>
      <c r="I247" s="223"/>
      <c r="J247" s="223"/>
      <c r="K247" s="223"/>
      <c r="L247" s="223"/>
      <c r="M247" s="223" t="s">
        <v>26</v>
      </c>
      <c r="N247" s="223"/>
      <c r="O247" s="223"/>
      <c r="P247" s="223"/>
      <c r="Q247" s="223"/>
      <c r="R247" s="223"/>
      <c r="S247" s="223"/>
      <c r="T247" s="223"/>
      <c r="U247" s="174"/>
      <c r="V247" s="174"/>
      <c r="W247" s="174"/>
      <c r="X247" s="174"/>
      <c r="Y247" s="174"/>
      <c r="Z247" s="174"/>
      <c r="AA247" s="429"/>
      <c r="AB247" s="223">
        <f>IF(ISBLANK('Armour &amp; Shields'!L31),'Armour &amp; Shields'!Q31,'Armour &amp; Shields'!Q31*'Armour &amp; Shields'!L31)</f>
        <v>0</v>
      </c>
      <c r="AC247" s="359"/>
      <c r="AD247" s="359"/>
      <c r="AE247" s="448" t="s">
        <v>59</v>
      </c>
      <c r="AF247" s="359">
        <f t="shared" si="52"/>
        <v>0</v>
      </c>
      <c r="AG247" s="359">
        <f t="shared" si="53"/>
        <v>0</v>
      </c>
      <c r="AH247" s="359">
        <f t="shared" si="54"/>
        <v>0</v>
      </c>
      <c r="AI247" s="359">
        <f t="shared" si="55"/>
        <v>0</v>
      </c>
      <c r="AJ247" s="359">
        <f>IF(AH33+AI247&lt;0,0,AI247)</f>
        <v>0</v>
      </c>
      <c r="AK247" s="359"/>
      <c r="AL247" s="359"/>
      <c r="AM247" s="359"/>
      <c r="AN247" s="359"/>
      <c r="AO247" s="359"/>
      <c r="AP247" s="359"/>
      <c r="AQ247" s="174"/>
      <c r="AR247" s="217"/>
      <c r="AS247" s="218"/>
    </row>
    <row r="248">
      <c r="A248" s="450"/>
      <c r="B248" s="223">
        <v>0.0</v>
      </c>
      <c r="C248" s="223"/>
      <c r="D248" s="223" t="s">
        <v>24</v>
      </c>
      <c r="E248" s="223" t="s">
        <v>25</v>
      </c>
      <c r="F248" s="223"/>
      <c r="G248" s="223" t="s">
        <v>26</v>
      </c>
      <c r="H248" s="223"/>
      <c r="I248" s="223"/>
      <c r="J248" s="223"/>
      <c r="K248" s="223"/>
      <c r="L248" s="223"/>
      <c r="M248" s="223" t="s">
        <v>26</v>
      </c>
      <c r="N248" s="223"/>
      <c r="O248" s="223"/>
      <c r="P248" s="223"/>
      <c r="Q248" s="223"/>
      <c r="R248" s="223"/>
      <c r="S248" s="223"/>
      <c r="T248" s="223"/>
      <c r="U248" s="174"/>
      <c r="V248" s="174"/>
      <c r="W248" s="174"/>
      <c r="X248" s="174"/>
      <c r="Y248" s="174"/>
      <c r="Z248" s="174"/>
      <c r="AA248" s="429"/>
      <c r="AB248" s="223">
        <f>IF(ISBLANK('Armour &amp; Shields'!L32),'Armour &amp; Shields'!Q32,'Armour &amp; Shields'!Q32*'Armour &amp; Shields'!L32)</f>
        <v>0</v>
      </c>
      <c r="AC248" s="359"/>
      <c r="AD248" s="359"/>
      <c r="AE248" s="448" t="s">
        <v>57</v>
      </c>
      <c r="AF248" s="359">
        <f t="shared" si="52"/>
        <v>0</v>
      </c>
      <c r="AG248" s="359">
        <f t="shared" si="53"/>
        <v>0</v>
      </c>
      <c r="AH248" s="359">
        <f t="shared" si="54"/>
        <v>0</v>
      </c>
      <c r="AI248" s="359">
        <f t="shared" si="55"/>
        <v>0</v>
      </c>
      <c r="AJ248" s="359">
        <f>IF(AF33+AI248&lt;0,0,AI248)</f>
        <v>0</v>
      </c>
      <c r="AK248" s="359"/>
      <c r="AL248" s="359"/>
      <c r="AM248" s="359"/>
      <c r="AN248" s="359"/>
      <c r="AO248" s="359"/>
      <c r="AP248" s="359"/>
      <c r="AQ248" s="174"/>
      <c r="AR248" s="217"/>
      <c r="AS248" s="218"/>
    </row>
    <row r="249">
      <c r="A249" s="450"/>
      <c r="B249" s="223">
        <v>0.0</v>
      </c>
      <c r="C249" s="223"/>
      <c r="D249" s="223" t="s">
        <v>24</v>
      </c>
      <c r="E249" s="223" t="s">
        <v>25</v>
      </c>
      <c r="F249" s="223"/>
      <c r="G249" s="223" t="s">
        <v>26</v>
      </c>
      <c r="H249" s="223"/>
      <c r="I249" s="223"/>
      <c r="J249" s="223"/>
      <c r="K249" s="223"/>
      <c r="L249" s="223"/>
      <c r="M249" s="223" t="s">
        <v>26</v>
      </c>
      <c r="N249" s="223"/>
      <c r="O249" s="223"/>
      <c r="P249" s="223"/>
      <c r="Q249" s="223"/>
      <c r="R249" s="223"/>
      <c r="S249" s="223"/>
      <c r="T249" s="223"/>
      <c r="U249" s="174"/>
      <c r="V249" s="174"/>
      <c r="W249" s="174"/>
      <c r="X249" s="174"/>
      <c r="Y249" s="174"/>
      <c r="Z249" s="174"/>
      <c r="AA249" s="429"/>
      <c r="AB249" s="223">
        <f>IF(ISBLANK('Armour &amp; Shields'!L33),'Armour &amp; Shields'!Q33,'Armour &amp; Shields'!Q33*'Armour &amp; Shields'!L33)</f>
        <v>0</v>
      </c>
      <c r="AC249" s="359"/>
      <c r="AD249" s="359"/>
      <c r="AE249" s="448" t="s">
        <v>60</v>
      </c>
      <c r="AF249" s="359">
        <f t="shared" si="52"/>
        <v>0</v>
      </c>
      <c r="AG249" s="359">
        <f t="shared" si="53"/>
        <v>0</v>
      </c>
      <c r="AH249" s="359">
        <f t="shared" si="54"/>
        <v>0</v>
      </c>
      <c r="AI249" s="359">
        <f t="shared" si="55"/>
        <v>0</v>
      </c>
      <c r="AJ249" s="359">
        <f>IF(AI33+AI249&lt;0,0,AI249)</f>
        <v>0</v>
      </c>
      <c r="AK249" s="359"/>
      <c r="AL249" s="359"/>
      <c r="AM249" s="359"/>
      <c r="AN249" s="359"/>
      <c r="AO249" s="359"/>
      <c r="AP249" s="359"/>
      <c r="AQ249" s="174"/>
      <c r="AR249" s="217"/>
      <c r="AS249" s="218"/>
    </row>
    <row r="250">
      <c r="A250" s="450"/>
      <c r="B250" s="223">
        <v>0.0</v>
      </c>
      <c r="C250" s="223"/>
      <c r="D250" s="223" t="s">
        <v>24</v>
      </c>
      <c r="E250" s="223" t="s">
        <v>25</v>
      </c>
      <c r="F250" s="223"/>
      <c r="G250" s="223" t="s">
        <v>26</v>
      </c>
      <c r="H250" s="223"/>
      <c r="I250" s="223"/>
      <c r="J250" s="223"/>
      <c r="K250" s="223"/>
      <c r="L250" s="223"/>
      <c r="M250" s="223" t="s">
        <v>26</v>
      </c>
      <c r="N250" s="223"/>
      <c r="O250" s="223"/>
      <c r="P250" s="223"/>
      <c r="Q250" s="223"/>
      <c r="R250" s="223"/>
      <c r="S250" s="223"/>
      <c r="T250" s="223"/>
      <c r="U250" s="174"/>
      <c r="V250" s="174"/>
      <c r="W250" s="174"/>
      <c r="X250" s="174"/>
      <c r="Y250" s="174"/>
      <c r="Z250" s="174"/>
      <c r="AA250" s="429"/>
      <c r="AB250" s="223">
        <f>IF(ISBLANK('Armour &amp; Shields'!L34),'Armour &amp; Shields'!Q34,'Armour &amp; Shields'!Q34*'Armour &amp; Shields'!L34)</f>
        <v>0</v>
      </c>
      <c r="AC250" s="359"/>
      <c r="AD250" s="448" t="s">
        <v>61</v>
      </c>
      <c r="AE250" s="448" t="s">
        <v>57</v>
      </c>
      <c r="AF250" s="359">
        <f t="shared" si="52"/>
        <v>0</v>
      </c>
      <c r="AG250" s="359">
        <f t="shared" si="53"/>
        <v>0</v>
      </c>
      <c r="AH250" s="359">
        <f t="shared" si="54"/>
        <v>0</v>
      </c>
      <c r="AI250" s="359">
        <f t="shared" si="55"/>
        <v>0</v>
      </c>
      <c r="AJ250" s="359">
        <f>IF(AE35+AI250&lt;0,0,AI250)</f>
        <v>0</v>
      </c>
      <c r="AK250" s="359">
        <f>IF(AF33+AI250&lt;0,0,AI250)</f>
        <v>0</v>
      </c>
      <c r="AL250" s="359"/>
      <c r="AM250" s="359"/>
      <c r="AN250" s="359"/>
      <c r="AO250" s="359"/>
      <c r="AP250" s="359"/>
      <c r="AQ250" s="174"/>
      <c r="AR250" s="217"/>
      <c r="AS250" s="218"/>
    </row>
    <row r="251">
      <c r="A251" s="453"/>
      <c r="B251" s="223">
        <v>0.0</v>
      </c>
      <c r="C251" s="223"/>
      <c r="D251" s="223" t="s">
        <v>24</v>
      </c>
      <c r="E251" s="223" t="s">
        <v>25</v>
      </c>
      <c r="F251" s="223"/>
      <c r="G251" s="223" t="s">
        <v>26</v>
      </c>
      <c r="H251" s="223"/>
      <c r="I251" s="223"/>
      <c r="J251" s="223"/>
      <c r="K251" s="223"/>
      <c r="L251" s="223"/>
      <c r="M251" s="223" t="s">
        <v>26</v>
      </c>
      <c r="N251" s="223"/>
      <c r="O251" s="223"/>
      <c r="P251" s="223"/>
      <c r="Q251" s="223"/>
      <c r="R251" s="223"/>
      <c r="S251" s="223"/>
      <c r="T251" s="223"/>
      <c r="U251" s="174"/>
      <c r="V251" s="173"/>
      <c r="W251" s="173"/>
      <c r="X251" s="173"/>
      <c r="Y251" s="173"/>
      <c r="Z251" s="173"/>
      <c r="AA251" s="429"/>
      <c r="AB251" s="223">
        <f>IF(ISBLANK('Armour &amp; Shields'!L35),'Armour &amp; Shields'!Q35,'Armour &amp; Shields'!Q35*'Armour &amp; Shields'!L35)</f>
        <v>0</v>
      </c>
      <c r="AC251" s="452"/>
      <c r="AD251" s="452"/>
      <c r="AE251" s="448" t="s">
        <v>61</v>
      </c>
      <c r="AF251" s="359">
        <f t="shared" si="52"/>
        <v>0</v>
      </c>
      <c r="AG251" s="359">
        <f t="shared" si="53"/>
        <v>0</v>
      </c>
      <c r="AH251" s="359">
        <f t="shared" si="54"/>
        <v>0</v>
      </c>
      <c r="AI251" s="359">
        <f t="shared" si="55"/>
        <v>0</v>
      </c>
      <c r="AJ251" s="359">
        <f>IF(AE35+AI251&lt;0,0,AI251)</f>
        <v>0</v>
      </c>
      <c r="AK251" s="452"/>
      <c r="AL251" s="452"/>
      <c r="AM251" s="452"/>
      <c r="AN251" s="452"/>
      <c r="AO251" s="452"/>
      <c r="AP251" s="452"/>
      <c r="AQ251" s="173"/>
      <c r="AR251" s="217"/>
      <c r="AS251" s="218"/>
    </row>
    <row r="252">
      <c r="A252" s="453"/>
      <c r="B252" s="223">
        <v>0.0</v>
      </c>
      <c r="C252" s="223"/>
      <c r="D252" s="223" t="s">
        <v>24</v>
      </c>
      <c r="E252" s="223" t="s">
        <v>25</v>
      </c>
      <c r="F252" s="223"/>
      <c r="G252" s="223" t="s">
        <v>26</v>
      </c>
      <c r="H252" s="223"/>
      <c r="I252" s="223"/>
      <c r="J252" s="223"/>
      <c r="K252" s="223"/>
      <c r="L252" s="223"/>
      <c r="M252" s="223" t="s">
        <v>26</v>
      </c>
      <c r="N252" s="223"/>
      <c r="O252" s="223"/>
      <c r="P252" s="223"/>
      <c r="Q252" s="223"/>
      <c r="R252" s="223"/>
      <c r="S252" s="223"/>
      <c r="T252" s="223"/>
      <c r="U252" s="174"/>
      <c r="V252" s="173"/>
      <c r="W252" s="173"/>
      <c r="X252" s="173"/>
      <c r="Y252" s="173"/>
      <c r="Z252" s="173"/>
      <c r="AA252" s="429"/>
      <c r="AB252" s="223">
        <f>IF(ISBLANK('Armour &amp; Shields'!L36),'Armour &amp; Shields'!Q36,'Armour &amp; Shields'!Q36*'Armour &amp; Shields'!L36)</f>
        <v>0</v>
      </c>
      <c r="AC252" s="452"/>
      <c r="AD252" s="452"/>
      <c r="AE252" s="448" t="s">
        <v>57</v>
      </c>
      <c r="AF252" s="359">
        <f t="shared" si="52"/>
        <v>0</v>
      </c>
      <c r="AG252" s="359">
        <f t="shared" si="53"/>
        <v>0</v>
      </c>
      <c r="AH252" s="359">
        <f t="shared" si="54"/>
        <v>0</v>
      </c>
      <c r="AI252" s="359">
        <f t="shared" si="55"/>
        <v>0</v>
      </c>
      <c r="AJ252" s="359">
        <f>IF(AF33+AI252&lt;0,0,AI252)</f>
        <v>0</v>
      </c>
      <c r="AK252" s="452"/>
      <c r="AL252" s="452"/>
      <c r="AM252" s="452"/>
      <c r="AN252" s="452"/>
      <c r="AO252" s="452"/>
      <c r="AP252" s="452"/>
      <c r="AQ252" s="173"/>
      <c r="AR252" s="217"/>
      <c r="AS252" s="218"/>
    </row>
    <row r="253">
      <c r="A253" s="453"/>
      <c r="B253" s="223">
        <v>0.0</v>
      </c>
      <c r="C253" s="223"/>
      <c r="D253" s="223" t="s">
        <v>24</v>
      </c>
      <c r="E253" s="223" t="s">
        <v>25</v>
      </c>
      <c r="F253" s="223"/>
      <c r="G253" s="223" t="s">
        <v>26</v>
      </c>
      <c r="H253" s="223"/>
      <c r="I253" s="223"/>
      <c r="J253" s="223"/>
      <c r="K253" s="223"/>
      <c r="L253" s="223"/>
      <c r="M253" s="223" t="s">
        <v>26</v>
      </c>
      <c r="N253" s="223"/>
      <c r="O253" s="223"/>
      <c r="P253" s="223"/>
      <c r="Q253" s="223"/>
      <c r="R253" s="223"/>
      <c r="S253" s="441"/>
      <c r="T253" s="223"/>
      <c r="U253" s="174"/>
      <c r="V253" s="173"/>
      <c r="W253" s="173"/>
      <c r="X253" s="173"/>
      <c r="Y253" s="173"/>
      <c r="Z253" s="173"/>
      <c r="AA253" s="429"/>
      <c r="AB253" s="223">
        <f>IF(ISBLANK('Armour &amp; Shields'!L37),'Armour &amp; Shields'!Q37,'Armour &amp; Shields'!Q37*'Armour &amp; Shields'!L37)</f>
        <v>0</v>
      </c>
      <c r="AC253" s="452"/>
      <c r="AD253" s="452"/>
      <c r="AE253" s="448" t="s">
        <v>60</v>
      </c>
      <c r="AF253" s="359">
        <f t="shared" si="52"/>
        <v>0</v>
      </c>
      <c r="AG253" s="359">
        <f t="shared" si="53"/>
        <v>0</v>
      </c>
      <c r="AH253" s="359">
        <f t="shared" si="54"/>
        <v>0</v>
      </c>
      <c r="AI253" s="359">
        <f t="shared" si="55"/>
        <v>0</v>
      </c>
      <c r="AJ253" s="359">
        <f>IF($AI$33+AI253&lt;0,0,AI253)</f>
        <v>0</v>
      </c>
      <c r="AK253" s="452"/>
      <c r="AL253" s="452"/>
      <c r="AM253" s="452"/>
      <c r="AN253" s="452"/>
      <c r="AO253" s="452"/>
      <c r="AP253" s="452"/>
      <c r="AQ253" s="173"/>
      <c r="AR253" s="217"/>
      <c r="AS253" s="218"/>
    </row>
    <row r="254">
      <c r="A254" s="453"/>
      <c r="B254" s="223">
        <v>0.0</v>
      </c>
      <c r="C254" s="223"/>
      <c r="D254" s="223" t="s">
        <v>24</v>
      </c>
      <c r="E254" s="223" t="s">
        <v>25</v>
      </c>
      <c r="F254" s="223"/>
      <c r="G254" s="223" t="s">
        <v>26</v>
      </c>
      <c r="H254" s="223"/>
      <c r="I254" s="223"/>
      <c r="J254" s="223"/>
      <c r="K254" s="223"/>
      <c r="L254" s="223"/>
      <c r="M254" s="223" t="s">
        <v>26</v>
      </c>
      <c r="N254" s="223"/>
      <c r="O254" s="223"/>
      <c r="P254" s="223"/>
      <c r="Q254" s="223"/>
      <c r="R254" s="441"/>
      <c r="S254" s="441"/>
      <c r="T254" s="223"/>
      <c r="U254" s="454"/>
      <c r="V254" s="173"/>
      <c r="W254" s="173"/>
      <c r="X254" s="173"/>
      <c r="Y254" s="173"/>
      <c r="Z254" s="173"/>
      <c r="AA254" s="429"/>
      <c r="AB254" s="429"/>
      <c r="AC254" s="452"/>
      <c r="AD254" s="452"/>
      <c r="AE254" s="448" t="s">
        <v>58</v>
      </c>
      <c r="AF254" s="359">
        <f t="shared" si="52"/>
        <v>0</v>
      </c>
      <c r="AG254" s="359">
        <f t="shared" si="53"/>
        <v>0</v>
      </c>
      <c r="AH254" s="359">
        <f t="shared" si="54"/>
        <v>0</v>
      </c>
      <c r="AI254" s="359">
        <f t="shared" si="55"/>
        <v>0</v>
      </c>
      <c r="AJ254" s="359">
        <f>IF(AG33+AI254&lt;0,0,AI254)</f>
        <v>0</v>
      </c>
      <c r="AK254" s="452"/>
      <c r="AL254" s="452"/>
      <c r="AM254" s="452"/>
      <c r="AN254" s="452"/>
      <c r="AO254" s="452"/>
      <c r="AP254" s="452"/>
      <c r="AQ254" s="173"/>
      <c r="AR254" s="217"/>
      <c r="AS254" s="218"/>
    </row>
    <row r="255">
      <c r="A255" s="453"/>
      <c r="B255" s="223">
        <v>0.0</v>
      </c>
      <c r="C255" s="223"/>
      <c r="D255" s="223" t="s">
        <v>24</v>
      </c>
      <c r="E255" s="223" t="s">
        <v>25</v>
      </c>
      <c r="F255" s="223"/>
      <c r="G255" s="223" t="s">
        <v>26</v>
      </c>
      <c r="H255" s="223"/>
      <c r="I255" s="223"/>
      <c r="J255" s="223"/>
      <c r="K255" s="223"/>
      <c r="L255" s="223"/>
      <c r="M255" s="223" t="s">
        <v>26</v>
      </c>
      <c r="N255" s="223"/>
      <c r="O255" s="223"/>
      <c r="P255" s="223"/>
      <c r="Q255" s="223"/>
      <c r="R255" s="441"/>
      <c r="S255" s="441"/>
      <c r="T255" s="441"/>
      <c r="U255" s="454"/>
      <c r="V255" s="173"/>
      <c r="W255" s="173"/>
      <c r="X255" s="173"/>
      <c r="Y255" s="173"/>
      <c r="Z255" s="173"/>
      <c r="AA255" s="429"/>
      <c r="AB255" s="429"/>
      <c r="AC255" s="452"/>
      <c r="AD255" s="452"/>
      <c r="AE255" s="455" t="s">
        <v>682</v>
      </c>
      <c r="AF255" s="359">
        <f t="shared" si="52"/>
        <v>0</v>
      </c>
      <c r="AG255" s="359">
        <f t="shared" si="53"/>
        <v>0</v>
      </c>
      <c r="AH255" s="359">
        <f t="shared" si="54"/>
        <v>0</v>
      </c>
      <c r="AI255" s="359">
        <f t="shared" si="55"/>
        <v>0</v>
      </c>
      <c r="AJ255" s="359">
        <f>IF(AL252+AI255&lt;0,0,AI255)</f>
        <v>0</v>
      </c>
      <c r="AK255" s="452">
        <f>IF($AF$33+AI255&lt;0,0,AI255)</f>
        <v>0</v>
      </c>
      <c r="AL255" s="452">
        <f>IF($AG$33+AI255&lt;0,0,AI255)</f>
        <v>0</v>
      </c>
      <c r="AM255" s="452">
        <f>IF($AH$33+AI255&lt;0,0,AI255)</f>
        <v>0</v>
      </c>
      <c r="AN255" s="452">
        <f>IF($AI$33+AI255&lt;0,0,AI255)</f>
        <v>0</v>
      </c>
      <c r="AO255" s="452"/>
      <c r="AP255" s="452"/>
      <c r="AQ255" s="173"/>
      <c r="AR255" s="217"/>
      <c r="AS255" s="218"/>
    </row>
    <row r="256">
      <c r="A256" s="453"/>
      <c r="B256" s="223">
        <v>0.0</v>
      </c>
      <c r="C256" s="223"/>
      <c r="D256" s="223" t="s">
        <v>24</v>
      </c>
      <c r="E256" s="223" t="s">
        <v>25</v>
      </c>
      <c r="F256" s="223"/>
      <c r="G256" s="223" t="s">
        <v>26</v>
      </c>
      <c r="H256" s="223"/>
      <c r="I256" s="223"/>
      <c r="J256" s="223"/>
      <c r="K256" s="223"/>
      <c r="L256" s="223"/>
      <c r="M256" s="223" t="s">
        <v>26</v>
      </c>
      <c r="N256" s="223"/>
      <c r="O256" s="223"/>
      <c r="P256" s="223"/>
      <c r="Q256" s="223"/>
      <c r="R256" s="441"/>
      <c r="S256" s="441"/>
      <c r="T256" s="441"/>
      <c r="U256" s="454"/>
      <c r="V256" s="173"/>
      <c r="W256" s="173"/>
      <c r="X256" s="173"/>
      <c r="Y256" s="173"/>
      <c r="Z256" s="173"/>
      <c r="AA256" s="429"/>
      <c r="AB256" s="223">
        <f>IF(ISBLANK('Armour &amp; Shields'!L40),'Armour &amp; Shields'!Q40,'Armour &amp; Shields'!Q40*'Armour &amp; Shields'!L40)</f>
        <v>0</v>
      </c>
      <c r="AC256" s="452"/>
      <c r="AD256" s="452"/>
      <c r="AE256" s="452"/>
      <c r="AF256" s="452"/>
      <c r="AG256" s="452"/>
      <c r="AH256" s="452"/>
      <c r="AI256" s="452"/>
      <c r="AJ256" s="359">
        <f>IF($AE$35+AI255&lt;0,0,AI255)</f>
        <v>0</v>
      </c>
      <c r="AK256" s="452">
        <f>IF($AF$35+AI255&lt;0,0,AI255)</f>
        <v>0</v>
      </c>
      <c r="AL256" s="452">
        <f>IF($AG$35+AI255&lt;0,0,AI255)</f>
        <v>0</v>
      </c>
      <c r="AM256" s="452">
        <f>IF($AH$35+AI255&lt;0,0,AI255)</f>
        <v>0</v>
      </c>
      <c r="AN256" s="452">
        <f>IF($AI$35+AI255&lt;0,0,AI255)</f>
        <v>0</v>
      </c>
      <c r="AO256" s="452"/>
      <c r="AP256" s="452"/>
      <c r="AQ256" s="173"/>
      <c r="AR256" s="217"/>
      <c r="AS256" s="218"/>
    </row>
    <row r="257">
      <c r="A257" s="453"/>
      <c r="B257" s="223">
        <v>0.0</v>
      </c>
      <c r="C257" s="223"/>
      <c r="D257" s="223" t="s">
        <v>24</v>
      </c>
      <c r="E257" s="223" t="s">
        <v>25</v>
      </c>
      <c r="F257" s="223"/>
      <c r="G257" s="223" t="s">
        <v>26</v>
      </c>
      <c r="H257" s="223"/>
      <c r="I257" s="223"/>
      <c r="J257" s="223"/>
      <c r="K257" s="223"/>
      <c r="L257" s="223"/>
      <c r="M257" s="223" t="s">
        <v>26</v>
      </c>
      <c r="N257" s="223"/>
      <c r="O257" s="223"/>
      <c r="P257" s="223"/>
      <c r="Q257" s="223"/>
      <c r="R257" s="441"/>
      <c r="S257" s="441"/>
      <c r="T257" s="441"/>
      <c r="U257" s="454"/>
      <c r="V257" s="173"/>
      <c r="W257" s="173"/>
      <c r="X257" s="173"/>
      <c r="Y257" s="173"/>
      <c r="Z257" s="173"/>
      <c r="AA257" s="429"/>
      <c r="AB257" s="223">
        <f>IF(ISBLANK('Armour &amp; Shields'!L41),'Armour &amp; Shields'!Q41,'Armour &amp; Shields'!Q41*'Armour &amp; Shields'!L41)</f>
        <v>0</v>
      </c>
      <c r="AC257" s="452"/>
      <c r="AD257" s="452"/>
      <c r="AE257" s="452"/>
      <c r="AF257" s="452"/>
      <c r="AG257" s="452"/>
      <c r="AH257" s="452"/>
      <c r="AI257" s="452"/>
      <c r="AJ257" s="452"/>
      <c r="AK257" s="452"/>
      <c r="AL257" s="452"/>
      <c r="AM257" s="452"/>
      <c r="AN257" s="452"/>
      <c r="AO257" s="452"/>
      <c r="AP257" s="452"/>
      <c r="AQ257" s="173"/>
      <c r="AR257" s="217"/>
      <c r="AS257" s="218"/>
    </row>
    <row r="258">
      <c r="A258" s="453"/>
      <c r="B258" s="223">
        <v>0.0</v>
      </c>
      <c r="C258" s="223"/>
      <c r="D258" s="223" t="s">
        <v>24</v>
      </c>
      <c r="E258" s="223" t="s">
        <v>25</v>
      </c>
      <c r="F258" s="223"/>
      <c r="G258" s="223" t="s">
        <v>26</v>
      </c>
      <c r="H258" s="223"/>
      <c r="I258" s="223"/>
      <c r="J258" s="223"/>
      <c r="K258" s="223"/>
      <c r="L258" s="223"/>
      <c r="M258" s="223" t="s">
        <v>26</v>
      </c>
      <c r="N258" s="223"/>
      <c r="O258" s="223"/>
      <c r="P258" s="223"/>
      <c r="Q258" s="223"/>
      <c r="R258" s="441"/>
      <c r="S258" s="441"/>
      <c r="T258" s="441"/>
      <c r="U258" s="454"/>
      <c r="V258" s="173"/>
      <c r="W258" s="173"/>
      <c r="X258" s="173"/>
      <c r="Y258" s="173"/>
      <c r="Z258" s="173"/>
      <c r="AA258" s="429"/>
      <c r="AB258" s="223">
        <f>IF(ISBLANK('Armour &amp; Shields'!L42),'Armour &amp; Shields'!Q42,'Armour &amp; Shields'!Q42*'Armour &amp; Shields'!L42)</f>
        <v>0</v>
      </c>
      <c r="AC258" s="452"/>
      <c r="AD258" s="452"/>
      <c r="AE258" s="455" t="s">
        <v>682</v>
      </c>
      <c r="AF258" s="359">
        <f>IF(E76="-",0,-1)</f>
        <v>0</v>
      </c>
      <c r="AG258" s="359">
        <f>IF(F76="-",0,-2)</f>
        <v>0</v>
      </c>
      <c r="AH258" s="359">
        <f>IF(G76="-",0,-3)</f>
        <v>0</v>
      </c>
      <c r="AI258" s="359">
        <f>MIN(AF258:AH258)</f>
        <v>0</v>
      </c>
      <c r="AJ258" s="359">
        <f>IF($AE$33+AI258&lt;0,0,AI258)</f>
        <v>0</v>
      </c>
      <c r="AK258" s="452">
        <f>IF($AF$33+AI258&lt;0,0,AI258)</f>
        <v>0</v>
      </c>
      <c r="AL258" s="452">
        <f>IF($AG$33+AI258&lt;0,0,AI258)</f>
        <v>0</v>
      </c>
      <c r="AM258" s="452">
        <f>IF($AH$33+AI258&lt;0,0,AI258)</f>
        <v>0</v>
      </c>
      <c r="AN258" s="452">
        <f>IF($AI$33+AI258&lt;0,0,AI258)</f>
        <v>0</v>
      </c>
      <c r="AO258" s="452"/>
      <c r="AP258" s="452"/>
      <c r="AQ258" s="173"/>
      <c r="AR258" s="217"/>
      <c r="AS258" s="218"/>
    </row>
    <row r="259">
      <c r="A259" s="453"/>
      <c r="B259" s="441">
        <v>0.0</v>
      </c>
      <c r="C259" s="441"/>
      <c r="D259" s="441" t="s">
        <v>24</v>
      </c>
      <c r="E259" s="441" t="s">
        <v>25</v>
      </c>
      <c r="F259" s="441"/>
      <c r="G259" s="223" t="s">
        <v>26</v>
      </c>
      <c r="H259" s="223"/>
      <c r="I259" s="223"/>
      <c r="J259" s="223"/>
      <c r="K259" s="223"/>
      <c r="L259" s="441"/>
      <c r="M259" s="441" t="s">
        <v>26</v>
      </c>
      <c r="N259" s="441"/>
      <c r="O259" s="441"/>
      <c r="P259" s="441"/>
      <c r="Q259" s="441"/>
      <c r="R259" s="441"/>
      <c r="S259" s="441"/>
      <c r="T259" s="441"/>
      <c r="U259" s="454"/>
      <c r="V259" s="173"/>
      <c r="W259" s="173"/>
      <c r="X259" s="173"/>
      <c r="Y259" s="173"/>
      <c r="Z259" s="173"/>
      <c r="AA259" s="429"/>
      <c r="AB259" s="223">
        <f>IF(ISBLANK('Armour &amp; Shields'!L43),'Armour &amp; Shields'!Q43,'Armour &amp; Shields'!Q43*'Armour &amp; Shields'!L43)</f>
        <v>0</v>
      </c>
      <c r="AC259" s="452"/>
      <c r="AD259" s="452"/>
      <c r="AE259" s="452"/>
      <c r="AF259" s="452"/>
      <c r="AG259" s="452"/>
      <c r="AH259" s="452"/>
      <c r="AI259" s="452"/>
      <c r="AJ259" s="359">
        <f>IF($AE$35+AI258&lt;0,0,AI258)</f>
        <v>0</v>
      </c>
      <c r="AK259" s="452">
        <f>IF($AF$35+AI258&lt;0,0,AI258)</f>
        <v>0</v>
      </c>
      <c r="AL259" s="452">
        <f>IF($AG$35+AI258&lt;0,0,AI258)</f>
        <v>0</v>
      </c>
      <c r="AM259" s="452">
        <f>IF($AH$35+AI258&lt;0,0,AI258)</f>
        <v>0</v>
      </c>
      <c r="AN259" s="452">
        <f>IF($AI$35+AI258&lt;0,0,AI258)</f>
        <v>0</v>
      </c>
      <c r="AO259" s="452"/>
      <c r="AP259" s="452"/>
      <c r="AQ259" s="173"/>
      <c r="AR259" s="217"/>
      <c r="AS259" s="218"/>
    </row>
    <row r="260">
      <c r="A260" s="453"/>
      <c r="B260" s="441">
        <v>0.0</v>
      </c>
      <c r="C260" s="441"/>
      <c r="D260" s="441" t="s">
        <v>24</v>
      </c>
      <c r="E260" s="441" t="s">
        <v>25</v>
      </c>
      <c r="F260" s="441"/>
      <c r="G260" s="223" t="s">
        <v>26</v>
      </c>
      <c r="H260" s="223"/>
      <c r="I260" s="223"/>
      <c r="J260" s="223"/>
      <c r="K260" s="223"/>
      <c r="L260" s="441"/>
      <c r="M260" s="441" t="s">
        <v>26</v>
      </c>
      <c r="N260" s="441"/>
      <c r="O260" s="441"/>
      <c r="P260" s="441"/>
      <c r="Q260" s="441"/>
      <c r="R260" s="441"/>
      <c r="S260" s="441"/>
      <c r="T260" s="441"/>
      <c r="U260" s="454"/>
      <c r="V260" s="173"/>
      <c r="W260" s="173"/>
      <c r="X260" s="173"/>
      <c r="Y260" s="173"/>
      <c r="Z260" s="173"/>
      <c r="AA260" s="429"/>
      <c r="AB260" s="223">
        <f>IF(ISBLANK('Armour &amp; Shields'!L44),'Armour &amp; Shields'!Q44,'Armour &amp; Shields'!Q44*'Armour &amp; Shields'!L44)</f>
        <v>0</v>
      </c>
      <c r="AC260" s="452"/>
      <c r="AD260" s="452"/>
      <c r="AE260" s="452"/>
      <c r="AF260" s="452"/>
      <c r="AG260" s="452"/>
      <c r="AH260" s="452"/>
      <c r="AI260" s="452"/>
      <c r="AJ260" s="452"/>
      <c r="AK260" s="452"/>
      <c r="AL260" s="452"/>
      <c r="AM260" s="452"/>
      <c r="AN260" s="452"/>
      <c r="AO260" s="452"/>
      <c r="AP260" s="452"/>
      <c r="AQ260" s="173"/>
      <c r="AR260" s="217"/>
      <c r="AS260" s="218"/>
    </row>
    <row r="261">
      <c r="A261" s="453"/>
      <c r="B261" s="441">
        <v>0.0</v>
      </c>
      <c r="C261" s="441"/>
      <c r="D261" s="441" t="s">
        <v>24</v>
      </c>
      <c r="E261" s="441" t="s">
        <v>25</v>
      </c>
      <c r="F261" s="441"/>
      <c r="G261" s="223" t="s">
        <v>26</v>
      </c>
      <c r="H261" s="441"/>
      <c r="I261" s="441"/>
      <c r="J261" s="441"/>
      <c r="K261" s="441"/>
      <c r="L261" s="441"/>
      <c r="M261" s="441" t="s">
        <v>26</v>
      </c>
      <c r="N261" s="441"/>
      <c r="O261" s="441"/>
      <c r="P261" s="441"/>
      <c r="Q261" s="441"/>
      <c r="R261" s="441"/>
      <c r="S261" s="441"/>
      <c r="T261" s="441"/>
      <c r="U261" s="454"/>
      <c r="V261" s="173"/>
      <c r="W261" s="173"/>
      <c r="X261" s="173"/>
      <c r="Y261" s="173"/>
      <c r="Z261" s="173"/>
      <c r="AA261" s="429"/>
      <c r="AB261" s="223">
        <f>IF(ISBLANK('Armour &amp; Shields'!L45),'Armour &amp; Shields'!Q45,'Armour &amp; Shields'!Q45*'Armour &amp; Shields'!L45)</f>
        <v>0</v>
      </c>
      <c r="AC261" s="452"/>
      <c r="AD261" s="452"/>
      <c r="AE261" s="452"/>
      <c r="AF261" s="452"/>
      <c r="AG261" s="452"/>
      <c r="AH261" s="452"/>
      <c r="AI261" s="452"/>
      <c r="AJ261" s="452"/>
      <c r="AK261" s="452"/>
      <c r="AL261" s="452"/>
      <c r="AM261" s="452"/>
      <c r="AN261" s="452"/>
      <c r="AO261" s="452"/>
      <c r="AP261" s="452"/>
      <c r="AQ261" s="173"/>
      <c r="AR261" s="217"/>
      <c r="AS261" s="218"/>
    </row>
    <row r="262">
      <c r="A262" s="453"/>
      <c r="B262" s="441">
        <v>0.0</v>
      </c>
      <c r="C262" s="441"/>
      <c r="D262" s="441" t="s">
        <v>24</v>
      </c>
      <c r="E262" s="441" t="s">
        <v>25</v>
      </c>
      <c r="F262" s="441"/>
      <c r="G262" s="223" t="s">
        <v>26</v>
      </c>
      <c r="H262" s="441"/>
      <c r="I262" s="441"/>
      <c r="J262" s="441"/>
      <c r="K262" s="441"/>
      <c r="L262" s="441"/>
      <c r="M262" s="441" t="s">
        <v>26</v>
      </c>
      <c r="N262" s="441"/>
      <c r="O262" s="441"/>
      <c r="P262" s="441"/>
      <c r="Q262" s="441"/>
      <c r="R262" s="441"/>
      <c r="S262" s="441"/>
      <c r="T262" s="441"/>
      <c r="U262" s="454"/>
      <c r="V262" s="173"/>
      <c r="W262" s="173"/>
      <c r="X262" s="173"/>
      <c r="Y262" s="173"/>
      <c r="Z262" s="173"/>
      <c r="AA262" s="429"/>
      <c r="AB262" s="223">
        <f>IF(ISBLANK('Armour &amp; Shields'!L46),'Armour &amp; Shields'!Q46,'Armour &amp; Shields'!Q46*'Armour &amp; Shields'!L46)</f>
        <v>0</v>
      </c>
      <c r="AC262" s="452"/>
      <c r="AD262" s="452"/>
      <c r="AE262" s="452"/>
      <c r="AF262" s="452"/>
      <c r="AG262" s="452"/>
      <c r="AH262" s="452"/>
      <c r="AI262" s="452"/>
      <c r="AJ262" s="452"/>
      <c r="AK262" s="452"/>
      <c r="AL262" s="452"/>
      <c r="AM262" s="452"/>
      <c r="AN262" s="452"/>
      <c r="AO262" s="452"/>
      <c r="AP262" s="452"/>
      <c r="AQ262" s="173"/>
      <c r="AR262" s="217"/>
      <c r="AS262" s="218"/>
    </row>
    <row r="263">
      <c r="A263" s="453"/>
      <c r="B263" s="441">
        <v>0.0</v>
      </c>
      <c r="C263" s="441"/>
      <c r="D263" s="441" t="s">
        <v>24</v>
      </c>
      <c r="E263" s="441" t="s">
        <v>25</v>
      </c>
      <c r="F263" s="441"/>
      <c r="G263" s="223" t="s">
        <v>26</v>
      </c>
      <c r="H263" s="441"/>
      <c r="I263" s="441"/>
      <c r="J263" s="441"/>
      <c r="K263" s="441"/>
      <c r="L263" s="441"/>
      <c r="M263" s="441" t="s">
        <v>26</v>
      </c>
      <c r="N263" s="441"/>
      <c r="O263" s="441"/>
      <c r="P263" s="441"/>
      <c r="Q263" s="441"/>
      <c r="R263" s="441"/>
      <c r="S263" s="441"/>
      <c r="T263" s="441"/>
      <c r="U263" s="454"/>
      <c r="V263" s="173"/>
      <c r="W263" s="173"/>
      <c r="X263" s="173"/>
      <c r="Y263" s="173"/>
      <c r="Z263" s="173"/>
      <c r="AA263" s="429"/>
      <c r="AB263" s="223">
        <f>IF(ISBLANK('Armour &amp; Shields'!L47),'Armour &amp; Shields'!Q47,'Armour &amp; Shields'!Q47*'Armour &amp; Shields'!L47)</f>
        <v>0</v>
      </c>
      <c r="AC263" s="452"/>
      <c r="AD263" s="452"/>
      <c r="AE263" s="452"/>
      <c r="AF263" s="452"/>
      <c r="AG263" s="452"/>
      <c r="AH263" s="452"/>
      <c r="AI263" s="452"/>
      <c r="AJ263" s="452"/>
      <c r="AK263" s="452"/>
      <c r="AL263" s="452"/>
      <c r="AM263" s="452"/>
      <c r="AN263" s="452"/>
      <c r="AO263" s="452"/>
      <c r="AP263" s="452"/>
      <c r="AQ263" s="173"/>
      <c r="AR263" s="217"/>
      <c r="AS263" s="218"/>
    </row>
    <row r="264">
      <c r="A264" s="453"/>
      <c r="B264" s="456">
        <v>0.0</v>
      </c>
      <c r="C264" s="456"/>
      <c r="D264" s="456" t="s">
        <v>24</v>
      </c>
      <c r="E264" s="456" t="s">
        <v>25</v>
      </c>
      <c r="F264" s="456"/>
      <c r="G264" s="456" t="s">
        <v>26</v>
      </c>
      <c r="H264" s="456"/>
      <c r="I264" s="456"/>
      <c r="J264" s="456"/>
      <c r="K264" s="456"/>
      <c r="L264" s="456"/>
      <c r="M264" s="456" t="s">
        <v>26</v>
      </c>
      <c r="N264" s="456"/>
      <c r="O264" s="456"/>
      <c r="P264" s="456"/>
      <c r="Q264" s="456"/>
      <c r="R264" s="456"/>
      <c r="S264" s="456"/>
      <c r="T264" s="441"/>
      <c r="U264" s="454"/>
      <c r="V264" s="173"/>
      <c r="W264" s="173"/>
      <c r="X264" s="173"/>
      <c r="Y264" s="173"/>
      <c r="Z264" s="173"/>
      <c r="AA264" s="429"/>
      <c r="AB264" s="223">
        <f>IF(ISBLANK('Armour &amp; Shields'!L48),'Armour &amp; Shields'!Q48,'Armour &amp; Shields'!Q48*'Armour &amp; Shields'!L48)</f>
        <v>0</v>
      </c>
      <c r="AC264" s="452"/>
      <c r="AD264" s="452"/>
      <c r="AE264" s="452"/>
      <c r="AF264" s="452"/>
      <c r="AG264" s="452"/>
      <c r="AH264" s="452"/>
      <c r="AI264" s="452"/>
      <c r="AJ264" s="452"/>
      <c r="AK264" s="452"/>
      <c r="AL264" s="452"/>
      <c r="AM264" s="452"/>
      <c r="AN264" s="452"/>
      <c r="AO264" s="452"/>
      <c r="AP264" s="452"/>
      <c r="AQ264" s="173"/>
      <c r="AR264" s="217"/>
      <c r="AS264" s="218"/>
    </row>
    <row r="265">
      <c r="A265" s="453"/>
      <c r="B265" s="456">
        <v>0.0</v>
      </c>
      <c r="C265" s="456"/>
      <c r="D265" s="456" t="s">
        <v>24</v>
      </c>
      <c r="E265" s="456" t="s">
        <v>25</v>
      </c>
      <c r="F265" s="456"/>
      <c r="G265" s="456" t="s">
        <v>26</v>
      </c>
      <c r="H265" s="456"/>
      <c r="I265" s="456"/>
      <c r="J265" s="456"/>
      <c r="K265" s="456"/>
      <c r="L265" s="456"/>
      <c r="M265" s="456" t="s">
        <v>26</v>
      </c>
      <c r="N265" s="456"/>
      <c r="O265" s="456"/>
      <c r="P265" s="456"/>
      <c r="Q265" s="456"/>
      <c r="R265" s="456"/>
      <c r="S265" s="456"/>
      <c r="T265" s="441"/>
      <c r="U265" s="454"/>
      <c r="V265" s="173"/>
      <c r="W265" s="173"/>
      <c r="X265" s="173"/>
      <c r="Y265" s="173"/>
      <c r="Z265" s="173"/>
      <c r="AA265" s="429"/>
      <c r="AB265" s="223">
        <f>IF(ISBLANK('Armour &amp; Shields'!L49),'Armour &amp; Shields'!Q49,'Armour &amp; Shields'!Q49*'Armour &amp; Shields'!L49)</f>
        <v>0</v>
      </c>
      <c r="AC265" s="452"/>
      <c r="AD265" s="452"/>
      <c r="AE265" s="452"/>
      <c r="AF265" s="452"/>
      <c r="AG265" s="452"/>
      <c r="AH265" s="452"/>
      <c r="AI265" s="452"/>
      <c r="AJ265" s="452"/>
      <c r="AK265" s="452"/>
      <c r="AL265" s="452"/>
      <c r="AM265" s="452"/>
      <c r="AN265" s="452"/>
      <c r="AO265" s="452"/>
      <c r="AP265" s="452"/>
      <c r="AQ265" s="173"/>
      <c r="AR265" s="217"/>
      <c r="AS265" s="218"/>
    </row>
    <row r="266">
      <c r="A266" s="453"/>
      <c r="B266" s="456">
        <v>0.0</v>
      </c>
      <c r="C266" s="456"/>
      <c r="D266" s="456" t="s">
        <v>24</v>
      </c>
      <c r="E266" s="456" t="s">
        <v>25</v>
      </c>
      <c r="F266" s="456"/>
      <c r="G266" s="456" t="s">
        <v>26</v>
      </c>
      <c r="H266" s="456"/>
      <c r="I266" s="456"/>
      <c r="J266" s="456"/>
      <c r="K266" s="456"/>
      <c r="L266" s="456"/>
      <c r="M266" s="456" t="s">
        <v>26</v>
      </c>
      <c r="N266" s="456"/>
      <c r="O266" s="456"/>
      <c r="P266" s="456"/>
      <c r="Q266" s="456"/>
      <c r="R266" s="456"/>
      <c r="S266" s="456"/>
      <c r="T266" s="441"/>
      <c r="U266" s="454"/>
      <c r="V266" s="173"/>
      <c r="W266" s="173"/>
      <c r="X266" s="173"/>
      <c r="Y266" s="173"/>
      <c r="Z266" s="173"/>
      <c r="AA266" s="429"/>
      <c r="AB266" s="223">
        <f>IF(ISBLANK('Armour &amp; Shields'!L50),'Armour &amp; Shields'!Q50,'Armour &amp; Shields'!Q50*'Armour &amp; Shields'!L50)</f>
        <v>0</v>
      </c>
      <c r="AC266" s="452"/>
      <c r="AD266" s="452"/>
      <c r="AE266" s="452"/>
      <c r="AF266" s="452"/>
      <c r="AG266" s="448" t="s">
        <v>683</v>
      </c>
      <c r="AH266" s="448">
        <f>IF(P3="Borian",0,IF(P3="Orgron",2,IF(P3="Felan",0,IF(P3="Spartan",1,IF(P3="Android",2,IF(P3="Venetian",0,0))))))</f>
        <v>0</v>
      </c>
      <c r="AI266" s="359">
        <f>IF(F7="Asteroid",-1,IF(F7="Volcanic",-1,0))</f>
        <v>0</v>
      </c>
      <c r="AJ266" s="359"/>
      <c r="AK266" s="452"/>
      <c r="AL266" s="452"/>
      <c r="AM266" s="452"/>
      <c r="AN266" s="452"/>
      <c r="AO266" s="452"/>
      <c r="AP266" s="452"/>
      <c r="AQ266" s="173"/>
      <c r="AR266" s="217"/>
      <c r="AS266" s="218"/>
    </row>
    <row r="267">
      <c r="A267" s="453"/>
      <c r="B267" s="456">
        <v>0.0</v>
      </c>
      <c r="C267" s="456"/>
      <c r="D267" s="456" t="s">
        <v>24</v>
      </c>
      <c r="E267" s="456" t="s">
        <v>25</v>
      </c>
      <c r="F267" s="456"/>
      <c r="G267" s="456" t="s">
        <v>26</v>
      </c>
      <c r="H267" s="456"/>
      <c r="I267" s="456"/>
      <c r="J267" s="456"/>
      <c r="K267" s="456"/>
      <c r="L267" s="456"/>
      <c r="M267" s="456" t="s">
        <v>26</v>
      </c>
      <c r="N267" s="456"/>
      <c r="O267" s="456"/>
      <c r="P267" s="456"/>
      <c r="Q267" s="456"/>
      <c r="R267" s="456"/>
      <c r="S267" s="457"/>
      <c r="T267" s="441"/>
      <c r="U267" s="454"/>
      <c r="V267" s="173"/>
      <c r="W267" s="173"/>
      <c r="X267" s="173"/>
      <c r="Y267" s="173"/>
      <c r="Z267" s="173"/>
      <c r="AA267" s="429"/>
      <c r="AB267" s="223">
        <f>IF(ISBLANK('Armour &amp; Shields'!L51),'Armour &amp; Shields'!Q51,'Armour &amp; Shields'!Q51*'Armour &amp; Shields'!L51)</f>
        <v>0</v>
      </c>
      <c r="AC267" s="452"/>
      <c r="AD267" s="452"/>
      <c r="AE267" s="452"/>
      <c r="AF267" s="452"/>
      <c r="AG267" s="448" t="s">
        <v>684</v>
      </c>
      <c r="AH267" s="359">
        <f>IF(P3="Borian",0,IF(P3="Orgron",0,IF(P3="Felan",2,IF(P3="Spartan",1,IF(P3="Android",0,IF(P3="Venetian",1,0))))))</f>
        <v>0</v>
      </c>
      <c r="AI267" s="359">
        <f>IF(F7="Asteroid",1,IF(F7="Jungle",1,IF(F7="Ocean",1,IF(F7="Volcanic",1,0))))</f>
        <v>0</v>
      </c>
      <c r="AJ267" s="359">
        <f>IF(F7="Arctic",-1,IF(F7="Desert",-1,0))</f>
        <v>0</v>
      </c>
      <c r="AK267" s="452"/>
      <c r="AL267" s="452"/>
      <c r="AM267" s="452"/>
      <c r="AN267" s="452"/>
      <c r="AO267" s="452"/>
      <c r="AP267" s="452"/>
      <c r="AQ267" s="173"/>
      <c r="AR267" s="217"/>
      <c r="AS267" s="218"/>
    </row>
    <row r="268">
      <c r="A268" s="453"/>
      <c r="B268" s="456">
        <v>0.0</v>
      </c>
      <c r="C268" s="456"/>
      <c r="D268" s="456" t="s">
        <v>24</v>
      </c>
      <c r="E268" s="456" t="s">
        <v>25</v>
      </c>
      <c r="F268" s="456"/>
      <c r="G268" s="456" t="s">
        <v>26</v>
      </c>
      <c r="H268" s="456"/>
      <c r="I268" s="456"/>
      <c r="J268" s="456"/>
      <c r="K268" s="456"/>
      <c r="L268" s="456"/>
      <c r="M268" s="456" t="s">
        <v>26</v>
      </c>
      <c r="N268" s="456"/>
      <c r="O268" s="456"/>
      <c r="P268" s="456"/>
      <c r="Q268" s="456"/>
      <c r="R268" s="457"/>
      <c r="S268" s="457"/>
      <c r="T268" s="441"/>
      <c r="U268" s="173"/>
      <c r="V268" s="173"/>
      <c r="W268" s="173"/>
      <c r="X268" s="173"/>
      <c r="Y268" s="173"/>
      <c r="Z268" s="173"/>
      <c r="AA268" s="432"/>
      <c r="AB268" s="458">
        <f>IF(ISBLANK('Armour &amp; Shields'!L52),'Armour &amp; Shields'!Q52,'Armour &amp; Shields'!Q52*'Armour &amp; Shields'!L52)</f>
        <v>0</v>
      </c>
      <c r="AC268" s="173"/>
      <c r="AD268" s="173"/>
      <c r="AE268" s="173"/>
      <c r="AF268" s="173"/>
      <c r="AG268" s="175" t="s">
        <v>685</v>
      </c>
      <c r="AH268" s="172">
        <f>IF(P3="Borian",1,IF(P3="Orgron",2,IF(P3="Felan",0,IF(P3="Spartan",1,IF(P3="Android",0,IF(P3="Venetian",0,0))))))</f>
        <v>0</v>
      </c>
      <c r="AI268" s="172">
        <f>IF(F7="Agricultural",1,IF(F7="Arctic",1,IF(F7="Barren",1,IF(F7="Desert",1,0))))</f>
        <v>0</v>
      </c>
      <c r="AJ268" s="172">
        <f>IF(F7="City",-1,IF(F7="Jungle",-1,0))</f>
        <v>0</v>
      </c>
      <c r="AK268" s="173"/>
      <c r="AL268" s="173"/>
      <c r="AM268" s="173"/>
      <c r="AN268" s="173"/>
      <c r="AO268" s="173"/>
      <c r="AP268" s="173"/>
      <c r="AQ268" s="173"/>
      <c r="AR268" s="217"/>
      <c r="AS268" s="218"/>
    </row>
    <row r="269">
      <c r="A269" s="218"/>
      <c r="B269" s="459" t="s">
        <v>2</v>
      </c>
      <c r="C269" s="459"/>
      <c r="D269" s="459"/>
      <c r="E269" s="459"/>
      <c r="F269" s="459"/>
      <c r="G269" s="459"/>
      <c r="H269" s="459"/>
      <c r="I269" s="459"/>
      <c r="J269" s="459"/>
      <c r="K269" s="459"/>
      <c r="L269" s="459"/>
      <c r="M269" s="459"/>
      <c r="N269" s="459"/>
      <c r="O269" s="459"/>
      <c r="P269" s="456"/>
      <c r="Q269" s="173"/>
      <c r="R269" s="457"/>
      <c r="S269" s="457"/>
      <c r="T269" s="173"/>
      <c r="U269" s="173"/>
      <c r="V269" s="173"/>
      <c r="W269" s="173"/>
      <c r="X269" s="173"/>
      <c r="Y269" s="173"/>
      <c r="Z269" s="173"/>
      <c r="AA269" s="429"/>
      <c r="AB269" s="458">
        <f>IF(ISBLANK('Armour &amp; Shields'!L53),'Armour &amp; Shields'!Q53,'Armour &amp; Shields'!Q53*'Armour &amp; Shields'!L53)</f>
        <v>0</v>
      </c>
      <c r="AC269" s="173"/>
      <c r="AD269" s="173"/>
      <c r="AE269" s="173"/>
      <c r="AF269" s="173"/>
      <c r="AG269" s="448" t="s">
        <v>686</v>
      </c>
      <c r="AH269" s="172">
        <f>IF(P3="Borian",0,IF(P3="Orgron",0,IF(P3="Felan",0,IF(P3="Spartan",0,IF(P3="Android",0,IF(P3="Venetian",0,0))))))</f>
        <v>0</v>
      </c>
      <c r="AI269" s="172"/>
      <c r="AJ269" s="172"/>
      <c r="AK269" s="173"/>
      <c r="AL269" s="173"/>
      <c r="AM269" s="173"/>
      <c r="AN269" s="173"/>
      <c r="AO269" s="173"/>
      <c r="AP269" s="173"/>
      <c r="AQ269" s="173"/>
      <c r="AR269" s="217"/>
      <c r="AS269" s="218"/>
    </row>
    <row r="270">
      <c r="A270" s="218"/>
      <c r="B270" s="456" t="str">
        <f t="shared" ref="B270:J270" si="56">IFERROR(__xludf.DUMMYFUNCTION("IF(ISNA(FILTER(#REF!,#REF!&lt;&gt;"""")),"""",FILTER(#REF!,#REF!&lt;&gt;""""))"),"")</f>
        <v/>
      </c>
      <c r="C270" s="456" t="str">
        <f t="shared" si="56"/>
        <v/>
      </c>
      <c r="D270" s="456" t="str">
        <f t="shared" si="56"/>
        <v/>
      </c>
      <c r="E270" s="456" t="str">
        <f t="shared" si="56"/>
        <v/>
      </c>
      <c r="F270" s="456" t="str">
        <f t="shared" si="56"/>
        <v/>
      </c>
      <c r="G270" s="456" t="str">
        <f t="shared" si="56"/>
        <v/>
      </c>
      <c r="H270" s="456" t="str">
        <f t="shared" si="56"/>
        <v/>
      </c>
      <c r="I270" s="456" t="str">
        <f t="shared" si="56"/>
        <v/>
      </c>
      <c r="J270" s="456" t="str">
        <f t="shared" si="56"/>
        <v/>
      </c>
      <c r="K270" s="173"/>
      <c r="L270" s="456" t="str">
        <f t="shared" ref="L270:M270" si="57">IFERROR(__xludf.DUMMYFUNCTION("IF(ISNA(FILTER(#REF!,#REF!&lt;&gt;"""")),"""",FILTER(#REF!,#REF!&lt;&gt;""""))"),"")</f>
        <v/>
      </c>
      <c r="M270" s="456" t="str">
        <f t="shared" si="57"/>
        <v/>
      </c>
      <c r="N270" s="460" t="s">
        <v>687</v>
      </c>
      <c r="O270" s="459"/>
      <c r="P270" s="456"/>
      <c r="Q270" s="457"/>
      <c r="R270" s="457"/>
      <c r="S270" s="457"/>
      <c r="T270" s="173"/>
      <c r="U270" s="173"/>
      <c r="V270" s="173"/>
      <c r="W270" s="173"/>
      <c r="X270" s="173"/>
      <c r="Y270" s="173"/>
      <c r="Z270" s="173"/>
      <c r="AA270" s="429"/>
      <c r="AB270" s="432"/>
      <c r="AC270" s="173"/>
      <c r="AD270" s="173"/>
      <c r="AE270" s="173"/>
      <c r="AF270" s="173"/>
      <c r="AG270" s="448" t="s">
        <v>688</v>
      </c>
      <c r="AH270" s="172">
        <f>IF(P3="Borian",1,IF(P3="Orgron",0,IF(P3="Felan",1,IF(P3="Spartan",0,IF(P3="Android",0,IF(P3="Venetian",0,0))))))</f>
        <v>0</v>
      </c>
      <c r="AI270" s="172">
        <f>IF(F7="Ocean",-1,0)</f>
        <v>0</v>
      </c>
      <c r="AJ270" s="172"/>
      <c r="AK270" s="173"/>
      <c r="AL270" s="173"/>
      <c r="AM270" s="173"/>
      <c r="AN270" s="173"/>
      <c r="AO270" s="173"/>
      <c r="AP270" s="173"/>
      <c r="AQ270" s="173"/>
      <c r="AR270" s="217"/>
      <c r="AS270" s="218"/>
    </row>
    <row r="271">
      <c r="A271" s="218"/>
      <c r="B271" s="459"/>
      <c r="C271" s="459"/>
      <c r="D271" s="459"/>
      <c r="E271" s="459"/>
      <c r="F271" s="459"/>
      <c r="G271" s="459"/>
      <c r="H271" s="459"/>
      <c r="I271" s="459"/>
      <c r="J271" s="459"/>
      <c r="K271" s="459"/>
      <c r="L271" s="459"/>
      <c r="M271" s="459"/>
      <c r="N271" s="459"/>
      <c r="O271" s="459"/>
      <c r="P271" s="456"/>
      <c r="Q271" s="457"/>
      <c r="R271" s="457"/>
      <c r="S271" s="457"/>
      <c r="T271" s="173"/>
      <c r="U271" s="173"/>
      <c r="V271" s="173"/>
      <c r="W271" s="173"/>
      <c r="X271" s="173"/>
      <c r="Y271" s="173"/>
      <c r="Z271" s="173"/>
      <c r="AA271" s="429"/>
      <c r="AB271" s="432"/>
      <c r="AC271" s="173"/>
      <c r="AD271" s="173"/>
      <c r="AE271" s="173"/>
      <c r="AF271" s="173"/>
      <c r="AG271" s="448" t="s">
        <v>689</v>
      </c>
      <c r="AH271" s="172">
        <f>IF(P3="Borian",0,IF(P3="Orgron",0,IF(P3="Felan",0,IF(P3="Spartan",0,IF(P3="Android",2,IF(P3="Venetian",2,0))))))</f>
        <v>0</v>
      </c>
      <c r="AI271" s="172">
        <f>IF(F7="Agricultural",-1,0)</f>
        <v>0</v>
      </c>
      <c r="AJ271" s="172"/>
      <c r="AK271" s="173"/>
      <c r="AL271" s="173"/>
      <c r="AM271" s="173"/>
      <c r="AN271" s="173"/>
      <c r="AO271" s="173"/>
      <c r="AP271" s="173"/>
      <c r="AQ271" s="173"/>
      <c r="AR271" s="217"/>
      <c r="AS271" s="218"/>
    </row>
    <row r="272">
      <c r="A272" s="218"/>
      <c r="B272" s="459"/>
      <c r="C272" s="459"/>
      <c r="D272" s="459"/>
      <c r="E272" s="459"/>
      <c r="F272" s="459"/>
      <c r="G272" s="459"/>
      <c r="H272" s="459"/>
      <c r="I272" s="459"/>
      <c r="J272" s="459"/>
      <c r="K272" s="459"/>
      <c r="L272" s="459"/>
      <c r="M272" s="459"/>
      <c r="N272" s="459"/>
      <c r="O272" s="459"/>
      <c r="P272" s="456"/>
      <c r="Q272" s="457"/>
      <c r="R272" s="457"/>
      <c r="S272" s="457"/>
      <c r="T272" s="173"/>
      <c r="U272" s="173"/>
      <c r="V272" s="173"/>
      <c r="W272" s="173"/>
      <c r="X272" s="173"/>
      <c r="Y272" s="173"/>
      <c r="Z272" s="173"/>
      <c r="AA272" s="429" t="s">
        <v>690</v>
      </c>
      <c r="AB272" s="461">
        <f t="shared" ref="AB272:AB278" si="58">IF(ISBLANK(I37),O37,O37*I37)</f>
        <v>0</v>
      </c>
      <c r="AC272" s="173"/>
      <c r="AD272" s="173"/>
      <c r="AE272" s="173"/>
      <c r="AF272" s="173"/>
      <c r="AG272" s="448" t="s">
        <v>691</v>
      </c>
      <c r="AH272" s="172">
        <f>IF(P3="Borian",1,IF(P3="Orgron",0,IF(P3="Felan",1,IF(P3="Spartan",0,IF(P3="Android",0,IF(P3="Venetian",0,0))))))</f>
        <v>0</v>
      </c>
      <c r="AI272" s="172">
        <f>IF(F7="City",1,0)</f>
        <v>0</v>
      </c>
      <c r="AJ272" s="172">
        <f>IF(F7="Barren",-1,0)</f>
        <v>0</v>
      </c>
      <c r="AK272" s="173"/>
      <c r="AL272" s="173"/>
      <c r="AM272" s="173"/>
      <c r="AN272" s="173"/>
      <c r="AO272" s="173"/>
      <c r="AP272" s="173"/>
      <c r="AQ272" s="173"/>
      <c r="AR272" s="217"/>
      <c r="AS272" s="218"/>
    </row>
    <row r="273">
      <c r="A273" s="218"/>
      <c r="B273" s="459"/>
      <c r="C273" s="459"/>
      <c r="D273" s="459"/>
      <c r="E273" s="459"/>
      <c r="F273" s="459"/>
      <c r="G273" s="459"/>
      <c r="H273" s="459"/>
      <c r="I273" s="459"/>
      <c r="J273" s="459"/>
      <c r="K273" s="459"/>
      <c r="L273" s="459"/>
      <c r="M273" s="459"/>
      <c r="N273" s="459"/>
      <c r="O273" s="459"/>
      <c r="P273" s="456"/>
      <c r="Q273" s="457"/>
      <c r="R273" s="457"/>
      <c r="S273" s="457"/>
      <c r="T273" s="173"/>
      <c r="U273" s="173"/>
      <c r="V273" s="173"/>
      <c r="W273" s="173"/>
      <c r="X273" s="173"/>
      <c r="Y273" s="173"/>
      <c r="Z273" s="173"/>
      <c r="AA273" s="429"/>
      <c r="AB273" s="461">
        <f t="shared" si="58"/>
        <v>0</v>
      </c>
      <c r="AC273" s="173"/>
      <c r="AD273" s="173"/>
      <c r="AE273" s="173"/>
      <c r="AF273" s="173"/>
      <c r="AG273" s="448" t="s">
        <v>692</v>
      </c>
      <c r="AH273" s="172">
        <f>IF(P3="Borian",0,IF(P3="Orgron",0,IF(P3="Felan",1,IF(P3="Spartan",0,IF(P3="Android",-3,IF(P3="Venetian",-2,IF(P3="Human",2,0)))))))</f>
        <v>0</v>
      </c>
      <c r="AI273" s="172"/>
      <c r="AJ273" s="172"/>
      <c r="AK273" s="173"/>
      <c r="AL273" s="173"/>
      <c r="AM273" s="173"/>
      <c r="AN273" s="173"/>
      <c r="AO273" s="173"/>
      <c r="AP273" s="173"/>
      <c r="AQ273" s="173"/>
      <c r="AR273" s="217"/>
      <c r="AS273" s="218"/>
    </row>
    <row r="274">
      <c r="A274" s="218"/>
      <c r="B274" s="459"/>
      <c r="C274" s="459"/>
      <c r="D274" s="459"/>
      <c r="E274" s="459"/>
      <c r="F274" s="459"/>
      <c r="G274" s="459"/>
      <c r="H274" s="459"/>
      <c r="I274" s="459"/>
      <c r="J274" s="459"/>
      <c r="K274" s="459"/>
      <c r="L274" s="459"/>
      <c r="M274" s="459"/>
      <c r="N274" s="459"/>
      <c r="O274" s="459"/>
      <c r="P274" s="456"/>
      <c r="Q274" s="457"/>
      <c r="R274" s="457"/>
      <c r="S274" s="457"/>
      <c r="T274" s="173"/>
      <c r="U274" s="173"/>
      <c r="V274" s="173"/>
      <c r="W274" s="173"/>
      <c r="X274" s="173"/>
      <c r="Y274" s="173"/>
      <c r="Z274" s="173"/>
      <c r="AA274" s="429"/>
      <c r="AB274" s="461">
        <f t="shared" si="58"/>
        <v>0</v>
      </c>
      <c r="AC274" s="173"/>
      <c r="AD274" s="173"/>
      <c r="AE274" s="173"/>
      <c r="AF274" s="173"/>
      <c r="AG274" s="175" t="s">
        <v>693</v>
      </c>
      <c r="AH274" s="175">
        <v>0.0</v>
      </c>
      <c r="AI274" s="172"/>
      <c r="AJ274" s="172"/>
      <c r="AK274" s="173"/>
      <c r="AL274" s="173"/>
      <c r="AM274" s="173"/>
      <c r="AN274" s="173"/>
      <c r="AO274" s="173"/>
      <c r="AP274" s="173"/>
      <c r="AQ274" s="173"/>
      <c r="AR274" s="217"/>
      <c r="AS274" s="218"/>
    </row>
    <row r="275">
      <c r="A275" s="218"/>
      <c r="B275" s="459"/>
      <c r="C275" s="459"/>
      <c r="D275" s="459"/>
      <c r="E275" s="459"/>
      <c r="F275" s="459"/>
      <c r="G275" s="459"/>
      <c r="H275" s="459"/>
      <c r="I275" s="459"/>
      <c r="J275" s="459"/>
      <c r="K275" s="459"/>
      <c r="L275" s="459"/>
      <c r="M275" s="459"/>
      <c r="N275" s="459"/>
      <c r="O275" s="459"/>
      <c r="P275" s="456"/>
      <c r="Q275" s="457"/>
      <c r="R275" s="457"/>
      <c r="S275" s="457"/>
      <c r="T275" s="173"/>
      <c r="U275" s="173"/>
      <c r="V275" s="173"/>
      <c r="W275" s="173"/>
      <c r="X275" s="173"/>
      <c r="Y275" s="173"/>
      <c r="Z275" s="173"/>
      <c r="AA275" s="429"/>
      <c r="AB275" s="462">
        <f t="shared" si="58"/>
        <v>0</v>
      </c>
      <c r="AC275" s="173"/>
      <c r="AD275" s="173"/>
      <c r="AE275" s="173"/>
      <c r="AF275" s="173"/>
      <c r="AG275" s="175" t="s">
        <v>694</v>
      </c>
      <c r="AH275" s="172">
        <f>IF(P3="Borian",0,IF(P3="Orgron",0,IF(P3="Felan",0,IF(P3="Spartan",0,IF(P3="Android",0,IF(P3="Venetian",3,0))))))</f>
        <v>0</v>
      </c>
      <c r="AI275" s="172"/>
      <c r="AJ275" s="172"/>
      <c r="AK275" s="173"/>
      <c r="AL275" s="173"/>
      <c r="AM275" s="173"/>
      <c r="AN275" s="173"/>
      <c r="AO275" s="173"/>
      <c r="AP275" s="173"/>
      <c r="AQ275" s="173"/>
      <c r="AR275" s="217"/>
      <c r="AS275" s="218"/>
    </row>
    <row r="276">
      <c r="A276" s="218"/>
      <c r="B276" s="459"/>
      <c r="C276" s="459"/>
      <c r="D276" s="459"/>
      <c r="E276" s="459"/>
      <c r="F276" s="459"/>
      <c r="G276" s="459"/>
      <c r="H276" s="459"/>
      <c r="I276" s="459"/>
      <c r="J276" s="459"/>
      <c r="K276" s="459"/>
      <c r="L276" s="459"/>
      <c r="M276" s="459"/>
      <c r="N276" s="459"/>
      <c r="O276" s="459"/>
      <c r="P276" s="456"/>
      <c r="Q276" s="457"/>
      <c r="R276" s="457"/>
      <c r="S276" s="457"/>
      <c r="T276" s="173"/>
      <c r="U276" s="173"/>
      <c r="V276" s="173"/>
      <c r="W276" s="173"/>
      <c r="X276" s="173"/>
      <c r="Y276" s="173"/>
      <c r="Z276" s="173"/>
      <c r="AA276" s="429"/>
      <c r="AB276" s="462">
        <f t="shared" si="58"/>
        <v>0</v>
      </c>
      <c r="AC276" s="173"/>
      <c r="AD276" s="173"/>
      <c r="AE276" s="173"/>
      <c r="AF276" s="173"/>
      <c r="AG276" s="173"/>
      <c r="AH276" s="173"/>
      <c r="AI276" s="173"/>
      <c r="AJ276" s="173"/>
      <c r="AK276" s="173"/>
      <c r="AL276" s="173"/>
      <c r="AM276" s="173"/>
      <c r="AN276" s="173"/>
      <c r="AO276" s="173"/>
      <c r="AP276" s="173"/>
      <c r="AQ276" s="173"/>
      <c r="AR276" s="217"/>
      <c r="AS276" s="218"/>
    </row>
    <row r="277">
      <c r="A277" s="218"/>
      <c r="B277" s="459"/>
      <c r="C277" s="459"/>
      <c r="D277" s="459"/>
      <c r="E277" s="459"/>
      <c r="F277" s="459"/>
      <c r="G277" s="459"/>
      <c r="H277" s="459"/>
      <c r="I277" s="459"/>
      <c r="J277" s="459"/>
      <c r="K277" s="459"/>
      <c r="L277" s="459"/>
      <c r="M277" s="459"/>
      <c r="N277" s="459"/>
      <c r="O277" s="459"/>
      <c r="P277" s="456"/>
      <c r="Q277" s="457"/>
      <c r="R277" s="457"/>
      <c r="S277" s="457"/>
      <c r="T277" s="173"/>
      <c r="U277" s="173"/>
      <c r="V277" s="173"/>
      <c r="W277" s="173"/>
      <c r="X277" s="173"/>
      <c r="Y277" s="173"/>
      <c r="Z277" s="173"/>
      <c r="AA277" s="429"/>
      <c r="AB277" s="462">
        <f t="shared" si="58"/>
        <v>0</v>
      </c>
      <c r="AC277" s="173"/>
      <c r="AD277" s="173"/>
      <c r="AE277" s="173"/>
      <c r="AF277" s="173"/>
      <c r="AG277" s="173"/>
      <c r="AH277" s="173"/>
      <c r="AI277" s="173"/>
      <c r="AJ277" s="173"/>
      <c r="AK277" s="173"/>
      <c r="AL277" s="173"/>
      <c r="AM277" s="173"/>
      <c r="AN277" s="173"/>
      <c r="AO277" s="173"/>
      <c r="AP277" s="173"/>
      <c r="AQ277" s="173"/>
      <c r="AR277" s="217"/>
      <c r="AS277" s="218"/>
    </row>
    <row r="278">
      <c r="A278" s="218"/>
      <c r="B278" s="459"/>
      <c r="C278" s="459"/>
      <c r="D278" s="459"/>
      <c r="E278" s="459"/>
      <c r="F278" s="459"/>
      <c r="G278" s="459"/>
      <c r="H278" s="459"/>
      <c r="I278" s="459"/>
      <c r="J278" s="459"/>
      <c r="K278" s="459"/>
      <c r="L278" s="459"/>
      <c r="M278" s="459"/>
      <c r="N278" s="459"/>
      <c r="O278" s="459"/>
      <c r="P278" s="456"/>
      <c r="Q278" s="457"/>
      <c r="R278" s="457"/>
      <c r="S278" s="457"/>
      <c r="T278" s="173"/>
      <c r="U278" s="173"/>
      <c r="V278" s="173"/>
      <c r="W278" s="173"/>
      <c r="X278" s="173"/>
      <c r="Y278" s="173"/>
      <c r="Z278" s="173"/>
      <c r="AA278" s="429"/>
      <c r="AB278" s="462">
        <f t="shared" si="58"/>
        <v>0</v>
      </c>
      <c r="AC278" s="173"/>
      <c r="AD278" s="173"/>
      <c r="AE278" s="173"/>
      <c r="AF278" s="173"/>
      <c r="AG278" s="173"/>
      <c r="AH278" s="173"/>
      <c r="AI278" s="173"/>
      <c r="AJ278" s="173"/>
      <c r="AK278" s="173"/>
      <c r="AL278" s="173"/>
      <c r="AM278" s="173"/>
      <c r="AN278" s="173"/>
      <c r="AO278" s="173"/>
      <c r="AP278" s="173"/>
      <c r="AQ278" s="173"/>
      <c r="AR278" s="217"/>
      <c r="AS278" s="218"/>
    </row>
    <row r="279">
      <c r="A279" s="218"/>
      <c r="B279" s="459"/>
      <c r="C279" s="459"/>
      <c r="D279" s="459"/>
      <c r="E279" s="459"/>
      <c r="F279" s="459"/>
      <c r="G279" s="459"/>
      <c r="H279" s="459"/>
      <c r="I279" s="459"/>
      <c r="J279" s="459"/>
      <c r="K279" s="459"/>
      <c r="L279" s="459"/>
      <c r="M279" s="459"/>
      <c r="N279" s="459"/>
      <c r="O279" s="459"/>
      <c r="P279" s="456"/>
      <c r="Q279" s="457"/>
      <c r="R279" s="457"/>
      <c r="S279" s="457"/>
      <c r="T279" s="173"/>
      <c r="U279" s="173"/>
      <c r="V279" s="173"/>
      <c r="W279" s="173"/>
      <c r="X279" s="173"/>
      <c r="Y279" s="173"/>
      <c r="Z279" s="173"/>
      <c r="AA279" s="173"/>
      <c r="AB279" s="173"/>
      <c r="AC279" s="173"/>
      <c r="AD279" s="173"/>
      <c r="AE279" s="173"/>
      <c r="AF279" s="173"/>
      <c r="AG279" s="173"/>
      <c r="AH279" s="173"/>
      <c r="AI279" s="173"/>
      <c r="AJ279" s="173"/>
      <c r="AK279" s="173"/>
      <c r="AL279" s="173"/>
      <c r="AM279" s="173"/>
      <c r="AN279" s="173"/>
      <c r="AO279" s="173"/>
      <c r="AP279" s="173"/>
      <c r="AQ279" s="173"/>
      <c r="AR279" s="217"/>
      <c r="AS279" s="218"/>
    </row>
    <row r="280">
      <c r="A280" s="218"/>
      <c r="B280" s="459"/>
      <c r="C280" s="459"/>
      <c r="D280" s="459"/>
      <c r="E280" s="459"/>
      <c r="F280" s="459"/>
      <c r="G280" s="459"/>
      <c r="H280" s="459"/>
      <c r="I280" s="459"/>
      <c r="J280" s="459"/>
      <c r="K280" s="459"/>
      <c r="L280" s="459"/>
      <c r="M280" s="459"/>
      <c r="N280" s="459"/>
      <c r="O280" s="459"/>
      <c r="P280" s="456"/>
      <c r="Q280" s="457"/>
      <c r="R280" s="457"/>
      <c r="S280" s="457"/>
      <c r="T280" s="173"/>
      <c r="U280" s="173"/>
      <c r="V280" s="173"/>
      <c r="W280" s="173"/>
      <c r="X280" s="173"/>
      <c r="Y280" s="173"/>
      <c r="Z280" s="173"/>
      <c r="AA280" s="173"/>
      <c r="AB280" s="173"/>
      <c r="AC280" s="173"/>
      <c r="AD280" s="173"/>
      <c r="AE280" s="173"/>
      <c r="AF280" s="173"/>
      <c r="AG280" s="173"/>
      <c r="AH280" s="173"/>
      <c r="AI280" s="173"/>
      <c r="AJ280" s="173"/>
      <c r="AK280" s="173"/>
      <c r="AL280" s="173"/>
      <c r="AM280" s="173"/>
      <c r="AN280" s="173"/>
      <c r="AO280" s="173"/>
      <c r="AP280" s="173"/>
      <c r="AQ280" s="173"/>
      <c r="AR280" s="217"/>
      <c r="AS280" s="218"/>
    </row>
    <row r="281">
      <c r="A281" s="218"/>
      <c r="B281" s="459"/>
      <c r="C281" s="459"/>
      <c r="D281" s="459"/>
      <c r="E281" s="459"/>
      <c r="F281" s="459"/>
      <c r="G281" s="459"/>
      <c r="H281" s="459"/>
      <c r="I281" s="459"/>
      <c r="J281" s="459"/>
      <c r="K281" s="459"/>
      <c r="L281" s="459"/>
      <c r="M281" s="459"/>
      <c r="N281" s="459"/>
      <c r="O281" s="459"/>
      <c r="P281" s="456"/>
      <c r="Q281" s="457"/>
      <c r="R281" s="457"/>
      <c r="S281" s="457"/>
      <c r="T281" s="173"/>
      <c r="U281" s="173"/>
      <c r="V281" s="173"/>
      <c r="W281" s="173"/>
      <c r="X281" s="173"/>
      <c r="Y281" s="173"/>
      <c r="Z281" s="173"/>
      <c r="AA281" s="173"/>
      <c r="AB281" s="173"/>
      <c r="AC281" s="173"/>
      <c r="AD281" s="173"/>
      <c r="AE281" s="173"/>
      <c r="AF281" s="173"/>
      <c r="AG281" s="173"/>
      <c r="AH281" s="173"/>
      <c r="AI281" s="173"/>
      <c r="AJ281" s="173"/>
      <c r="AK281" s="173"/>
      <c r="AL281" s="173"/>
      <c r="AM281" s="173"/>
      <c r="AN281" s="173"/>
      <c r="AO281" s="173"/>
      <c r="AP281" s="173"/>
      <c r="AQ281" s="173"/>
      <c r="AR281" s="217"/>
      <c r="AS281" s="218"/>
    </row>
    <row r="282">
      <c r="A282" s="218"/>
      <c r="B282" s="459"/>
      <c r="C282" s="463"/>
      <c r="D282" s="463"/>
      <c r="E282" s="454"/>
      <c r="F282" s="459"/>
      <c r="G282" s="459"/>
      <c r="H282" s="459"/>
      <c r="I282" s="459"/>
      <c r="J282" s="459"/>
      <c r="K282" s="459"/>
      <c r="L282" s="459"/>
      <c r="M282" s="459"/>
      <c r="N282" s="459"/>
      <c r="O282" s="459"/>
      <c r="P282" s="457"/>
      <c r="Q282" s="457"/>
      <c r="R282" s="457"/>
      <c r="S282" s="457"/>
      <c r="T282" s="173"/>
      <c r="U282" s="173"/>
      <c r="V282" s="173"/>
      <c r="W282" s="173"/>
      <c r="X282" s="173"/>
      <c r="Y282" s="173"/>
      <c r="Z282" s="173"/>
      <c r="AA282" s="173"/>
      <c r="AB282" s="173"/>
      <c r="AC282" s="173"/>
      <c r="AD282" s="173"/>
      <c r="AE282" s="173"/>
      <c r="AF282" s="173"/>
      <c r="AG282" s="173"/>
      <c r="AH282" s="173"/>
      <c r="AI282" s="173"/>
      <c r="AJ282" s="173"/>
      <c r="AK282" s="173"/>
      <c r="AL282" s="173"/>
      <c r="AM282" s="173"/>
      <c r="AN282" s="173"/>
      <c r="AO282" s="173"/>
      <c r="AP282" s="173"/>
      <c r="AQ282" s="173"/>
      <c r="AR282" s="217"/>
      <c r="AS282" s="218"/>
    </row>
    <row r="283">
      <c r="A283" s="218"/>
      <c r="B283" s="459"/>
      <c r="C283" s="459"/>
      <c r="D283" s="459"/>
      <c r="E283" s="459"/>
      <c r="F283" s="459"/>
      <c r="G283" s="459"/>
      <c r="H283" s="459"/>
      <c r="I283" s="459"/>
      <c r="J283" s="459"/>
      <c r="K283" s="459"/>
      <c r="L283" s="459"/>
      <c r="M283" s="459"/>
      <c r="N283" s="459"/>
      <c r="O283" s="459"/>
      <c r="P283" s="457"/>
      <c r="Q283" s="457"/>
      <c r="R283" s="457"/>
      <c r="S283" s="457"/>
      <c r="T283" s="173"/>
      <c r="U283" s="173"/>
      <c r="V283" s="173"/>
      <c r="W283" s="173"/>
      <c r="X283" s="173"/>
      <c r="Y283" s="173"/>
      <c r="Z283" s="173"/>
      <c r="AA283" s="173"/>
      <c r="AB283" s="173"/>
      <c r="AC283" s="173"/>
      <c r="AD283" s="173"/>
      <c r="AE283" s="173"/>
      <c r="AF283" s="173"/>
      <c r="AG283" s="173"/>
      <c r="AH283" s="173"/>
      <c r="AI283" s="173"/>
      <c r="AJ283" s="173"/>
      <c r="AK283" s="173"/>
      <c r="AL283" s="173"/>
      <c r="AM283" s="173"/>
      <c r="AN283" s="173"/>
      <c r="AO283" s="173"/>
      <c r="AP283" s="173"/>
      <c r="AQ283" s="173"/>
      <c r="AR283" s="217"/>
      <c r="AS283" s="218"/>
    </row>
    <row r="284">
      <c r="A284" s="218"/>
      <c r="B284" s="459"/>
      <c r="C284" s="459"/>
      <c r="D284" s="459"/>
      <c r="E284" s="459"/>
      <c r="F284" s="459"/>
      <c r="G284" s="459"/>
      <c r="H284" s="459"/>
      <c r="I284" s="459"/>
      <c r="J284" s="459"/>
      <c r="K284" s="459"/>
      <c r="L284" s="459"/>
      <c r="M284" s="459"/>
      <c r="N284" s="459"/>
      <c r="O284" s="459"/>
      <c r="P284" s="457"/>
      <c r="Q284" s="457"/>
      <c r="R284" s="457"/>
      <c r="S284" s="457"/>
      <c r="T284" s="173"/>
      <c r="U284" s="173"/>
      <c r="V284" s="173"/>
      <c r="W284" s="173"/>
      <c r="X284" s="173"/>
      <c r="Y284" s="173"/>
      <c r="Z284" s="173"/>
      <c r="AA284" s="173"/>
      <c r="AB284" s="173"/>
      <c r="AC284" s="173"/>
      <c r="AD284" s="173"/>
      <c r="AE284" s="173"/>
      <c r="AF284" s="173"/>
      <c r="AG284" s="173"/>
      <c r="AH284" s="173"/>
      <c r="AI284" s="173"/>
      <c r="AJ284" s="173"/>
      <c r="AK284" s="464" t="s">
        <v>695</v>
      </c>
      <c r="AL284" s="465"/>
      <c r="AM284" s="466">
        <f t="shared" ref="AM284:AM302" si="59">IF(NOT(D58="-"),0,1)</f>
        <v>1</v>
      </c>
      <c r="AN284" s="173" t="str">
        <f>IF(AM284=0,"The target becomes slightly disoriented. No additional effect.","")</f>
        <v/>
      </c>
      <c r="AO284" s="173"/>
      <c r="AP284" s="173"/>
      <c r="AQ284" s="173"/>
      <c r="AR284" s="217"/>
      <c r="AS284" s="218"/>
    </row>
    <row r="285">
      <c r="A285" s="218"/>
      <c r="B285" s="459"/>
      <c r="C285" s="459"/>
      <c r="D285" s="459"/>
      <c r="E285" s="459"/>
      <c r="F285" s="459"/>
      <c r="G285" s="459"/>
      <c r="H285" s="459"/>
      <c r="I285" s="459"/>
      <c r="J285" s="459"/>
      <c r="K285" s="459"/>
      <c r="L285" s="459"/>
      <c r="M285" s="459"/>
      <c r="N285" s="459"/>
      <c r="O285" s="459"/>
      <c r="P285" s="457"/>
      <c r="Q285" s="457"/>
      <c r="R285" s="457"/>
      <c r="S285" s="457"/>
      <c r="T285" s="173"/>
      <c r="U285" s="173"/>
      <c r="V285" s="173"/>
      <c r="W285" s="173"/>
      <c r="X285" s="173"/>
      <c r="Y285" s="173"/>
      <c r="Z285" s="173"/>
      <c r="AA285" s="173"/>
      <c r="AB285" s="173"/>
      <c r="AC285" s="173"/>
      <c r="AD285" s="173"/>
      <c r="AE285" s="173"/>
      <c r="AF285" s="173"/>
      <c r="AG285" s="173"/>
      <c r="AH285" s="173"/>
      <c r="AI285" s="173"/>
      <c r="AJ285" s="173"/>
      <c r="AK285" s="464" t="s">
        <v>696</v>
      </c>
      <c r="AL285" s="465"/>
      <c r="AM285" s="466">
        <f t="shared" si="59"/>
        <v>1</v>
      </c>
      <c r="AN285" s="173" t="str">
        <f>IF(AM285=0,"The target becomes hostile. No additional effect.","")</f>
        <v/>
      </c>
      <c r="AO285" s="173"/>
      <c r="AP285" s="173"/>
      <c r="AQ285" s="173"/>
      <c r="AR285" s="217"/>
      <c r="AS285" s="218"/>
    </row>
    <row r="286">
      <c r="A286" s="218"/>
      <c r="B286" s="457"/>
      <c r="C286" s="467"/>
      <c r="E286" s="467"/>
      <c r="F286" s="467"/>
      <c r="H286" s="467"/>
      <c r="I286" s="457"/>
      <c r="J286" s="457"/>
      <c r="K286" s="457"/>
      <c r="L286" s="457"/>
      <c r="M286" s="457"/>
      <c r="N286" s="457"/>
      <c r="O286" s="457"/>
      <c r="P286" s="457"/>
      <c r="Q286" s="457"/>
      <c r="R286" s="457"/>
      <c r="S286" s="457"/>
      <c r="T286" s="173"/>
      <c r="U286" s="173"/>
      <c r="V286" s="173"/>
      <c r="W286" s="173"/>
      <c r="X286" s="173"/>
      <c r="Y286" s="173"/>
      <c r="Z286" s="173"/>
      <c r="AA286" s="173"/>
      <c r="AB286" s="173"/>
      <c r="AC286" s="173"/>
      <c r="AD286" s="173"/>
      <c r="AE286" s="173"/>
      <c r="AF286" s="173"/>
      <c r="AG286" s="173"/>
      <c r="AH286" s="173"/>
      <c r="AI286" s="173"/>
      <c r="AJ286" s="173"/>
      <c r="AK286" s="464" t="s">
        <v>697</v>
      </c>
      <c r="AL286" s="465"/>
      <c r="AM286" s="466">
        <f t="shared" si="59"/>
        <v>1</v>
      </c>
      <c r="AN286" s="173" t="str">
        <f>IF(AM286=0,"The target becomes more receptive to the source’s point of view. No additional effect.","")</f>
        <v/>
      </c>
      <c r="AO286" s="173"/>
      <c r="AP286" s="173"/>
      <c r="AQ286" s="173"/>
      <c r="AR286" s="217"/>
      <c r="AS286" s="218"/>
    </row>
    <row r="287">
      <c r="A287" s="218"/>
      <c r="B287" s="457"/>
      <c r="C287" s="467"/>
      <c r="E287" s="467"/>
      <c r="F287" s="467"/>
      <c r="H287" s="467"/>
      <c r="I287" s="457"/>
      <c r="J287" s="457"/>
      <c r="K287" s="457"/>
      <c r="L287" s="457"/>
      <c r="M287" s="457"/>
      <c r="N287" s="457"/>
      <c r="O287" s="457"/>
      <c r="P287" s="457"/>
      <c r="Q287" s="457"/>
      <c r="R287" s="457"/>
      <c r="S287" s="457"/>
      <c r="T287" s="173"/>
      <c r="U287" s="173"/>
      <c r="V287" s="173"/>
      <c r="W287" s="173"/>
      <c r="X287" s="173"/>
      <c r="Y287" s="173"/>
      <c r="Z287" s="173"/>
      <c r="AA287" s="173"/>
      <c r="AB287" s="173"/>
      <c r="AC287" s="173"/>
      <c r="AD287" s="173"/>
      <c r="AE287" s="173"/>
      <c r="AF287" s="173"/>
      <c r="AG287" s="173"/>
      <c r="AH287" s="173"/>
      <c r="AI287" s="173"/>
      <c r="AJ287" s="173"/>
      <c r="AK287" s="464" t="s">
        <v>698</v>
      </c>
      <c r="AL287" s="465"/>
      <c r="AM287" s="466">
        <f t="shared" si="59"/>
        <v>1</v>
      </c>
      <c r="AN287" s="173" t="str">
        <f>IF(AM287=0,"The target has sustained a visible injury. No additional effect.","")</f>
        <v/>
      </c>
      <c r="AO287" s="173"/>
      <c r="AP287" s="173"/>
      <c r="AQ287" s="173"/>
      <c r="AR287" s="217"/>
      <c r="AS287" s="218"/>
    </row>
    <row r="288">
      <c r="A288" s="218"/>
      <c r="B288" s="173"/>
      <c r="C288" s="468"/>
      <c r="E288" s="468"/>
      <c r="F288" s="468"/>
      <c r="H288" s="468"/>
      <c r="I288" s="173"/>
      <c r="J288" s="173"/>
      <c r="K288" s="173"/>
      <c r="L288" s="173"/>
      <c r="M288" s="173"/>
      <c r="N288" s="173"/>
      <c r="O288" s="173"/>
      <c r="P288" s="173"/>
      <c r="Q288" s="173"/>
      <c r="R288" s="173"/>
      <c r="S288" s="173"/>
      <c r="T288" s="173"/>
      <c r="U288" s="173"/>
      <c r="V288" s="173"/>
      <c r="W288" s="173"/>
      <c r="X288" s="173"/>
      <c r="Y288" s="173"/>
      <c r="Z288" s="173"/>
      <c r="AA288" s="173"/>
      <c r="AB288" s="173"/>
      <c r="AC288" s="173"/>
      <c r="AD288" s="173"/>
      <c r="AE288" s="173"/>
      <c r="AF288" s="173"/>
      <c r="AG288" s="173"/>
      <c r="AH288" s="173"/>
      <c r="AI288" s="173"/>
      <c r="AJ288" s="173"/>
      <c r="AK288" s="464" t="s">
        <v>699</v>
      </c>
      <c r="AL288" s="465"/>
      <c r="AM288" s="466">
        <f t="shared" si="59"/>
        <v>1</v>
      </c>
      <c r="AN288" s="173" t="str">
        <f>IF(AM288=0,"The target becomes friendly. No additional effect.","")</f>
        <v/>
      </c>
      <c r="AO288" s="173"/>
      <c r="AP288" s="173"/>
      <c r="AQ288" s="173"/>
      <c r="AR288" s="217"/>
      <c r="AS288" s="218"/>
    </row>
    <row r="289">
      <c r="A289" s="218"/>
      <c r="B289" s="173"/>
      <c r="C289" s="468"/>
      <c r="E289" s="468"/>
      <c r="F289" s="468"/>
      <c r="H289" s="468"/>
      <c r="I289" s="173"/>
      <c r="J289" s="173"/>
      <c r="K289" s="173"/>
      <c r="L289" s="173"/>
      <c r="M289" s="173"/>
      <c r="N289" s="173"/>
      <c r="O289" s="173"/>
      <c r="P289" s="173"/>
      <c r="Q289" s="173"/>
      <c r="R289" s="173"/>
      <c r="S289" s="173"/>
      <c r="T289" s="173"/>
      <c r="U289" s="173"/>
      <c r="V289" s="173"/>
      <c r="W289" s="173"/>
      <c r="X289" s="173"/>
      <c r="Y289" s="173"/>
      <c r="Z289" s="173"/>
      <c r="AA289" s="173"/>
      <c r="AB289" s="173"/>
      <c r="AC289" s="173"/>
      <c r="AD289" s="173"/>
      <c r="AE289" s="173"/>
      <c r="AF289" s="173"/>
      <c r="AG289" s="173"/>
      <c r="AH289" s="173"/>
      <c r="AI289" s="173"/>
      <c r="AJ289" s="173"/>
      <c r="AK289" s="464" t="s">
        <v>700</v>
      </c>
      <c r="AL289" s="465"/>
      <c r="AM289" s="466">
        <f t="shared" si="59"/>
        <v>1</v>
      </c>
      <c r="AN289" s="173" t="str">
        <f>IF(AM289=0,"The target becomes happy. No additional effect.","")</f>
        <v/>
      </c>
      <c r="AO289" s="173"/>
      <c r="AP289" s="173"/>
      <c r="AQ289" s="173"/>
      <c r="AR289" s="217"/>
      <c r="AS289" s="218"/>
    </row>
    <row r="290">
      <c r="A290" s="218"/>
      <c r="B290" s="173"/>
      <c r="C290" s="468"/>
      <c r="E290" s="468"/>
      <c r="F290" s="469"/>
      <c r="H290" s="468"/>
      <c r="I290" s="173"/>
      <c r="J290" s="173"/>
      <c r="K290" s="173"/>
      <c r="L290" s="173"/>
      <c r="M290" s="173"/>
      <c r="N290" s="173"/>
      <c r="O290" s="173"/>
      <c r="P290" s="173"/>
      <c r="Q290" s="173"/>
      <c r="R290" s="173"/>
      <c r="S290" s="173"/>
      <c r="T290" s="173"/>
      <c r="U290" s="173"/>
      <c r="V290" s="173"/>
      <c r="W290" s="173"/>
      <c r="X290" s="173"/>
      <c r="Y290" s="173"/>
      <c r="Z290" s="173"/>
      <c r="AA290" s="173"/>
      <c r="AB290" s="173"/>
      <c r="AC290" s="173"/>
      <c r="AD290" s="173"/>
      <c r="AE290" s="173"/>
      <c r="AF290" s="173"/>
      <c r="AG290" s="173"/>
      <c r="AH290" s="173"/>
      <c r="AI290" s="173"/>
      <c r="AJ290" s="173"/>
      <c r="AK290" s="464" t="s">
        <v>701</v>
      </c>
      <c r="AL290" s="465"/>
      <c r="AM290" s="466">
        <f t="shared" si="59"/>
        <v>1</v>
      </c>
      <c r="AN290" s="173" t="str">
        <f>IF(AM290=0,"The target is slightly confused. No additional effect.","")</f>
        <v/>
      </c>
      <c r="AO290" s="173"/>
      <c r="AP290" s="173"/>
      <c r="AQ290" s="173"/>
      <c r="AR290" s="217"/>
      <c r="AS290" s="218"/>
    </row>
    <row r="291">
      <c r="A291" s="218"/>
      <c r="B291" s="173"/>
      <c r="C291" s="468"/>
      <c r="E291" s="468"/>
      <c r="F291" s="469"/>
      <c r="H291" s="468"/>
      <c r="I291" s="448" t="s">
        <v>119</v>
      </c>
      <c r="M291" s="448" t="s">
        <v>4</v>
      </c>
      <c r="N291" s="448" t="s">
        <v>6</v>
      </c>
      <c r="O291" s="448" t="s">
        <v>7</v>
      </c>
      <c r="P291" s="448" t="s">
        <v>19</v>
      </c>
      <c r="Q291" s="448" t="s">
        <v>10</v>
      </c>
      <c r="R291" s="448" t="s">
        <v>12</v>
      </c>
      <c r="S291" s="448" t="s">
        <v>14</v>
      </c>
      <c r="T291" s="448" t="s">
        <v>16</v>
      </c>
      <c r="U291" s="448" t="s">
        <v>17</v>
      </c>
      <c r="W291" s="173"/>
      <c r="X291" s="173"/>
      <c r="Y291" s="173"/>
      <c r="Z291" s="457"/>
      <c r="AA291" s="457"/>
      <c r="AB291" s="457"/>
      <c r="AC291" s="457"/>
      <c r="AD291" s="457"/>
      <c r="AE291" s="457"/>
      <c r="AF291" s="457"/>
      <c r="AG291" s="457"/>
      <c r="AH291" s="457"/>
      <c r="AI291" s="457"/>
      <c r="AJ291" s="457"/>
      <c r="AK291" s="464" t="s">
        <v>702</v>
      </c>
      <c r="AL291" s="465"/>
      <c r="AM291" s="466">
        <f t="shared" si="59"/>
        <v>1</v>
      </c>
      <c r="AN291" s="173" t="str">
        <f>IF(AM291=0,"The target becomes willing to take risks. No additional effect.","")</f>
        <v/>
      </c>
      <c r="AO291" s="457"/>
      <c r="AP291" s="173"/>
      <c r="AQ291" s="173"/>
      <c r="AR291" s="217"/>
      <c r="AS291" s="218"/>
    </row>
    <row r="292">
      <c r="A292" s="218"/>
      <c r="B292" s="173"/>
      <c r="C292" s="468"/>
      <c r="E292" s="468"/>
      <c r="F292" s="468"/>
      <c r="H292" s="468"/>
      <c r="I292" s="470" t="str">
        <f>L28</f>
        <v>Nothing</v>
      </c>
      <c r="M292" s="471" t="str">
        <f>IF(I292="Nothing","",VLOOKUP(I292,C231:M268,2,FALSE))</f>
        <v/>
      </c>
      <c r="N292" s="471" t="str">
        <f>IF(I292="Nothing","",VLOOKUP(I292,C231:M268,3,FALSE))</f>
        <v/>
      </c>
      <c r="O292" s="471" t="str">
        <f>IF(I292="Nothing","",VLOOKUP(I292,C231:M268,4,FALSE))</f>
        <v/>
      </c>
      <c r="P292" s="471" t="str">
        <f>IF(I292="Nothing","",VLOOKUP(I292,C231:M268,5,FALSE))</f>
        <v/>
      </c>
      <c r="Q292" s="471" t="str">
        <f>IF(I292="Nothing","",VLOOKUP(I292,C231:M268,6,FALSE))</f>
        <v/>
      </c>
      <c r="R292" s="471" t="str">
        <f>IF(I292="Nothing","",VLOOKUP(I292,C231:M268,7,FALSE))</f>
        <v/>
      </c>
      <c r="S292" s="471" t="str">
        <f>IF(I292="Nothing","",VLOOKUP(I292,C231:M268,8,FALSE))</f>
        <v/>
      </c>
      <c r="T292" s="471" t="str">
        <f>IF(I292="Nothing","",VLOOKUP(I292,C231:M268,10,FALSE))</f>
        <v/>
      </c>
      <c r="U292" s="471" t="str">
        <f>IF(I292="Nothing","",VLOOKUP(I292,C231:M268,11,FALSE))</f>
        <v/>
      </c>
      <c r="W292" s="173"/>
      <c r="X292" s="173"/>
      <c r="Y292" s="173"/>
      <c r="Z292" s="457"/>
      <c r="AA292" s="457"/>
      <c r="AB292" s="457"/>
      <c r="AC292" s="457"/>
      <c r="AD292" s="457"/>
      <c r="AE292" s="457"/>
      <c r="AF292" s="457"/>
      <c r="AG292" s="457"/>
      <c r="AH292" s="457"/>
      <c r="AI292" s="457"/>
      <c r="AJ292" s="457"/>
      <c r="AK292" s="464" t="s">
        <v>703</v>
      </c>
      <c r="AL292" s="465"/>
      <c r="AM292" s="466">
        <f t="shared" si="59"/>
        <v>1</v>
      </c>
      <c r="AN292" s="173" t="str">
        <f>IF(AM292=0,"The target feels sluggish and tired. No other effect.","")</f>
        <v/>
      </c>
      <c r="AO292" s="457"/>
      <c r="AP292" s="173"/>
      <c r="AQ292" s="173"/>
      <c r="AR292" s="217"/>
      <c r="AS292" s="218"/>
    </row>
    <row r="293">
      <c r="A293" s="218"/>
      <c r="B293" s="173"/>
      <c r="C293" s="468"/>
      <c r="E293" s="173"/>
      <c r="F293" s="173"/>
      <c r="H293" s="173"/>
      <c r="I293" s="448" t="s">
        <v>124</v>
      </c>
      <c r="M293" s="448" t="s">
        <v>4</v>
      </c>
      <c r="N293" s="448" t="s">
        <v>6</v>
      </c>
      <c r="O293" s="448" t="s">
        <v>7</v>
      </c>
      <c r="P293" s="448" t="s">
        <v>19</v>
      </c>
      <c r="Q293" s="448" t="s">
        <v>10</v>
      </c>
      <c r="R293" s="448" t="s">
        <v>12</v>
      </c>
      <c r="S293" s="448" t="s">
        <v>14</v>
      </c>
      <c r="T293" s="448" t="s">
        <v>16</v>
      </c>
      <c r="U293" s="448" t="s">
        <v>17</v>
      </c>
      <c r="W293" s="173"/>
      <c r="X293" s="173"/>
      <c r="Y293" s="472"/>
      <c r="Z293" s="473"/>
      <c r="AA293" s="473"/>
      <c r="AB293" s="473"/>
      <c r="AC293" s="473"/>
      <c r="AD293" s="173"/>
      <c r="AE293" s="173"/>
      <c r="AF293" s="457"/>
      <c r="AG293" s="457"/>
      <c r="AH293" s="457"/>
      <c r="AI293" s="457"/>
      <c r="AJ293" s="173"/>
      <c r="AK293" s="464" t="s">
        <v>704</v>
      </c>
      <c r="AL293" s="465"/>
      <c r="AM293" s="466">
        <f t="shared" si="59"/>
        <v>1</v>
      </c>
      <c r="AN293" s="173" t="str">
        <f>IF(AM293=0,"The target feels mild fear. No additional effect.","")</f>
        <v/>
      </c>
      <c r="AO293" s="457"/>
      <c r="AP293" s="173"/>
      <c r="AQ293" s="173"/>
      <c r="AR293" s="217"/>
      <c r="AS293" s="218"/>
    </row>
    <row r="294">
      <c r="A294" s="218"/>
      <c r="B294" s="173"/>
      <c r="C294" s="468"/>
      <c r="E294" s="173"/>
      <c r="F294" s="173"/>
      <c r="H294" s="173"/>
      <c r="I294" s="470" t="str">
        <f>L29</f>
        <v>Nothing</v>
      </c>
      <c r="M294" s="471" t="str">
        <f>IF(I294="Nothing","",VLOOKUP(I294,C231:M268,2,FALSE))</f>
        <v/>
      </c>
      <c r="N294" s="471" t="str">
        <f>IF(I294="Nothing","",VLOOKUP(I294,C231:M268,3,FALSE))</f>
        <v/>
      </c>
      <c r="O294" s="471" t="str">
        <f>IF(I294="Nothing","",VLOOKUP(I294,C231:M268,4,FALSE))</f>
        <v/>
      </c>
      <c r="P294" s="471" t="str">
        <f>IF(I294="Nothing","",VLOOKUP(I294,C231:M268,5,FALSE))</f>
        <v/>
      </c>
      <c r="Q294" s="471" t="str">
        <f>IF(I294="Nothing","",VLOOKUP(I294,C231:M268,6,FALSE))</f>
        <v/>
      </c>
      <c r="R294" s="471" t="str">
        <f>IF(I294="Nothing","",VLOOKUP(I294,C231:M268,7,FALSE))</f>
        <v/>
      </c>
      <c r="S294" s="471" t="str">
        <f>IF(I294="Nothing","",VLOOKUP(I294,C231:M268,8,FALSE))</f>
        <v/>
      </c>
      <c r="T294" s="471" t="str">
        <f>IF(I294="Nothing","",VLOOKUP(I294,C231:M268,10,FALSE))</f>
        <v/>
      </c>
      <c r="U294" s="471" t="str">
        <f>IF(I294="Nothing","",VLOOKUP(I294,C231:M268,11,FALSE))</f>
        <v/>
      </c>
      <c r="W294" s="173"/>
      <c r="X294" s="173"/>
      <c r="Y294" s="472"/>
      <c r="Z294" s="473"/>
      <c r="AA294" s="473"/>
      <c r="AB294" s="473"/>
      <c r="AC294" s="473"/>
      <c r="AD294" s="173"/>
      <c r="AE294" s="173"/>
      <c r="AF294" s="457"/>
      <c r="AG294" s="457"/>
      <c r="AH294" s="457"/>
      <c r="AI294" s="457"/>
      <c r="AJ294" s="173"/>
      <c r="AK294" s="464" t="s">
        <v>705</v>
      </c>
      <c r="AL294" s="465"/>
      <c r="AM294" s="466">
        <f t="shared" si="59"/>
        <v>1</v>
      </c>
      <c r="AN294" s="173" t="str">
        <f>IF(AM294=0,"The target is blackened and mildly burned, and flammable items are ruined. No additional effect.","")</f>
        <v/>
      </c>
      <c r="AO294" s="457"/>
      <c r="AP294" s="173"/>
      <c r="AQ294" s="173"/>
      <c r="AR294" s="217"/>
      <c r="AS294" s="218"/>
    </row>
    <row r="295">
      <c r="A295" s="218"/>
      <c r="B295" s="173"/>
      <c r="C295" s="468"/>
      <c r="E295" s="173"/>
      <c r="F295" s="173"/>
      <c r="H295" s="173"/>
      <c r="I295" s="448" t="s">
        <v>130</v>
      </c>
      <c r="M295" s="448" t="s">
        <v>4</v>
      </c>
      <c r="N295" s="448" t="s">
        <v>6</v>
      </c>
      <c r="O295" s="448" t="s">
        <v>7</v>
      </c>
      <c r="P295" s="448" t="s">
        <v>19</v>
      </c>
      <c r="Q295" s="448" t="s">
        <v>10</v>
      </c>
      <c r="R295" s="448" t="s">
        <v>12</v>
      </c>
      <c r="S295" s="448" t="s">
        <v>14</v>
      </c>
      <c r="T295" s="448" t="s">
        <v>16</v>
      </c>
      <c r="U295" s="448" t="s">
        <v>17</v>
      </c>
      <c r="W295" s="173"/>
      <c r="X295" s="173"/>
      <c r="Y295" s="472"/>
      <c r="Z295" s="473"/>
      <c r="AA295" s="473"/>
      <c r="AB295" s="473"/>
      <c r="AC295" s="473"/>
      <c r="AD295" s="173"/>
      <c r="AE295" s="173"/>
      <c r="AF295" s="457"/>
      <c r="AG295" s="457"/>
      <c r="AH295" s="457"/>
      <c r="AI295" s="457"/>
      <c r="AJ295" s="173"/>
      <c r="AK295" s="464" t="s">
        <v>706</v>
      </c>
      <c r="AL295" s="465"/>
      <c r="AM295" s="466">
        <f t="shared" si="59"/>
        <v>1</v>
      </c>
      <c r="AN295" s="173" t="str">
        <f>IF(AM295=0,"The target finds it harder to hear. No additional effect.","")</f>
        <v/>
      </c>
      <c r="AO295" s="457"/>
      <c r="AP295" s="173"/>
      <c r="AQ295" s="173"/>
      <c r="AR295" s="217"/>
      <c r="AS295" s="218"/>
    </row>
    <row r="296">
      <c r="A296" s="218"/>
      <c r="B296" s="173"/>
      <c r="C296" s="468"/>
      <c r="E296" s="173"/>
      <c r="F296" s="173"/>
      <c r="H296" s="173"/>
      <c r="I296" s="470" t="str">
        <f>L30</f>
        <v>Nothing</v>
      </c>
      <c r="M296" s="471" t="str">
        <f>IF(I296="Nothing","",VLOOKUP(I296,C231:M268,2,FALSE))</f>
        <v/>
      </c>
      <c r="N296" s="471" t="str">
        <f>IF(I296="Nothing","",VLOOKUP(I296,C231:M268,3,FALSE))</f>
        <v/>
      </c>
      <c r="O296" s="471" t="str">
        <f>IF(I296="Nothing","",VLOOKUP(I296,C231:M268,4,FALSE))</f>
        <v/>
      </c>
      <c r="P296" s="471" t="str">
        <f>IF(I296="Nothing","",VLOOKUP(I296,C231:M268,5,FALSE))</f>
        <v/>
      </c>
      <c r="Q296" s="471" t="str">
        <f>IF(I296="Nothing","",VLOOKUP(I296,C231:M268,6,FALSE))</f>
        <v/>
      </c>
      <c r="R296" s="471" t="str">
        <f>IF(I296="Nothing","",VLOOKUP(I296,C231:M268,7,FALSE))</f>
        <v/>
      </c>
      <c r="S296" s="471" t="str">
        <f>IF(I296="Nothing","",VLOOKUP(I296,C231:M268,8,FALSE))</f>
        <v/>
      </c>
      <c r="T296" s="471" t="str">
        <f>IF(I296="Nothing","",VLOOKUP(I296,C231:M268,10,FALSE))</f>
        <v/>
      </c>
      <c r="U296" s="471" t="str">
        <f>IF(I296="Nothing","",VLOOKUP(I296,C231:M268,11,FALSE))</f>
        <v/>
      </c>
      <c r="W296" s="173"/>
      <c r="X296" s="173"/>
      <c r="Y296" s="472"/>
      <c r="Z296" s="473"/>
      <c r="AA296" s="473"/>
      <c r="AB296" s="473"/>
      <c r="AC296" s="473"/>
      <c r="AD296" s="173"/>
      <c r="AE296" s="173"/>
      <c r="AF296" s="457"/>
      <c r="AG296" s="457"/>
      <c r="AH296" s="457"/>
      <c r="AI296" s="457"/>
      <c r="AJ296" s="173"/>
      <c r="AK296" s="464" t="s">
        <v>707</v>
      </c>
      <c r="AL296" s="465"/>
      <c r="AM296" s="466">
        <f t="shared" si="59"/>
        <v>1</v>
      </c>
      <c r="AN296" s="173" t="str">
        <f>IF(AM296=0,"The target is mildly intoxicated. No additional effect.","")</f>
        <v/>
      </c>
      <c r="AO296" s="457"/>
      <c r="AP296" s="173"/>
      <c r="AQ296" s="173"/>
      <c r="AR296" s="217"/>
      <c r="AS296" s="218"/>
    </row>
    <row r="297">
      <c r="A297" s="218"/>
      <c r="B297" s="173"/>
      <c r="C297" s="173"/>
      <c r="D297" s="173"/>
      <c r="E297" s="173"/>
      <c r="F297" s="173"/>
      <c r="G297" s="173"/>
      <c r="H297" s="173"/>
      <c r="I297" s="448" t="s">
        <v>140</v>
      </c>
      <c r="M297" s="359" t="s">
        <v>4</v>
      </c>
      <c r="N297" s="359" t="s">
        <v>6</v>
      </c>
      <c r="O297" s="359" t="s">
        <v>7</v>
      </c>
      <c r="P297" s="359" t="s">
        <v>11</v>
      </c>
      <c r="Q297" s="359" t="s">
        <v>45</v>
      </c>
      <c r="R297" s="359" t="s">
        <v>19</v>
      </c>
      <c r="S297" s="359" t="s">
        <v>14</v>
      </c>
      <c r="T297" s="359" t="s">
        <v>640</v>
      </c>
      <c r="U297" s="175" t="s">
        <v>17</v>
      </c>
      <c r="W297" s="173"/>
      <c r="X297" s="173"/>
      <c r="Y297" s="472"/>
      <c r="Z297" s="473"/>
      <c r="AA297" s="473"/>
      <c r="AB297" s="473"/>
      <c r="AC297" s="473"/>
      <c r="AD297" s="173"/>
      <c r="AE297" s="173"/>
      <c r="AF297" s="457"/>
      <c r="AG297" s="457"/>
      <c r="AH297" s="457"/>
      <c r="AI297" s="457"/>
      <c r="AJ297" s="173"/>
      <c r="AK297" s="464" t="s">
        <v>677</v>
      </c>
      <c r="AL297" s="465"/>
      <c r="AM297" s="466">
        <f t="shared" si="59"/>
        <v>1</v>
      </c>
      <c r="AN297" s="173" t="str">
        <f>IF(AM297=0,"The target becomes absent-minded. No additional effect.","")</f>
        <v/>
      </c>
      <c r="AO297" s="457"/>
      <c r="AP297" s="173"/>
      <c r="AQ297" s="173"/>
      <c r="AR297" s="217"/>
      <c r="AS297" s="218"/>
    </row>
    <row r="298">
      <c r="A298" s="218"/>
      <c r="B298" s="173"/>
      <c r="C298" s="173"/>
      <c r="D298" s="173"/>
      <c r="E298" s="173"/>
      <c r="F298" s="173"/>
      <c r="G298" s="173"/>
      <c r="H298" s="173"/>
      <c r="I298" s="470" t="str">
        <f>L31</f>
        <v>Nothing</v>
      </c>
      <c r="M298" s="172" t="str">
        <f>IF(I298="Nothing","",VLOOKUP(I298,C185:N199,2,FALSE))</f>
        <v/>
      </c>
      <c r="N298" s="172" t="str">
        <f>IF(I298="Nothing","",VLOOKUP(I298,C185:N199,3,FALSE))</f>
        <v/>
      </c>
      <c r="O298" s="175" t="str">
        <f>IF(I298="Nothing","",VLOOKUP(I298,C185:N199,12,FALSE))</f>
        <v/>
      </c>
      <c r="P298" s="175" t="s">
        <v>708</v>
      </c>
      <c r="Q298" s="172" t="str">
        <f>IF(I298="Nothing","",VLOOKUP(I298,C185:N199,4,FALSE))</f>
        <v/>
      </c>
      <c r="R298" s="172" t="str">
        <f>IF(I298="Nothing","",VLOOKUP(I298,C185:N199,10,FALSE))</f>
        <v/>
      </c>
      <c r="S298" s="172" t="str">
        <f>IF(I298="Nothing","",VLOOKUP(I298,C185:N199,11,FALSE))</f>
        <v/>
      </c>
      <c r="T298" s="175"/>
      <c r="U298" s="172" t="str">
        <f>IF(I298="Nothing","",VLOOKUP(I298,C185:N199,10,FALSE))</f>
        <v/>
      </c>
      <c r="W298" s="173"/>
      <c r="X298" s="173"/>
      <c r="Y298" s="472"/>
      <c r="Z298" s="473"/>
      <c r="AA298" s="473"/>
      <c r="AB298" s="473"/>
      <c r="AC298" s="473"/>
      <c r="AD298" s="173"/>
      <c r="AE298" s="173"/>
      <c r="AF298" s="457"/>
      <c r="AG298" s="457"/>
      <c r="AH298" s="457"/>
      <c r="AI298" s="457"/>
      <c r="AJ298" s="173"/>
      <c r="AK298" s="464" t="s">
        <v>709</v>
      </c>
      <c r="AL298" s="465"/>
      <c r="AM298" s="466">
        <f t="shared" si="59"/>
        <v>1</v>
      </c>
      <c r="AN298" s="173" t="str">
        <f>IF(AM298=0,"The target suffers a -2 SPEED penalty.","")</f>
        <v/>
      </c>
      <c r="AO298" s="457"/>
      <c r="AP298" s="173"/>
      <c r="AQ298" s="173"/>
      <c r="AR298" s="217"/>
      <c r="AS298" s="218"/>
    </row>
    <row r="299">
      <c r="A299" s="218"/>
      <c r="B299" s="173"/>
      <c r="C299" s="173"/>
      <c r="D299" s="173"/>
      <c r="E299" s="173"/>
      <c r="F299" s="173"/>
      <c r="G299" s="173"/>
      <c r="H299" s="173"/>
      <c r="I299" s="448" t="s">
        <v>180</v>
      </c>
      <c r="M299" s="448" t="s">
        <v>4</v>
      </c>
      <c r="N299" s="448" t="s">
        <v>6</v>
      </c>
      <c r="O299" s="448" t="s">
        <v>7</v>
      </c>
      <c r="P299" s="448" t="s">
        <v>11</v>
      </c>
      <c r="Q299" s="448" t="s">
        <v>45</v>
      </c>
      <c r="R299" s="448" t="s">
        <v>19</v>
      </c>
      <c r="S299" s="448" t="s">
        <v>14</v>
      </c>
      <c r="T299" s="448" t="s">
        <v>640</v>
      </c>
      <c r="U299" s="448" t="s">
        <v>710</v>
      </c>
      <c r="W299" s="173"/>
      <c r="X299" s="173"/>
      <c r="Y299" s="472"/>
      <c r="Z299" s="473"/>
      <c r="AA299" s="473"/>
      <c r="AB299" s="473"/>
      <c r="AC299" s="473"/>
      <c r="AD299" s="173"/>
      <c r="AE299" s="173"/>
      <c r="AF299" s="457"/>
      <c r="AG299" s="457"/>
      <c r="AH299" s="457"/>
      <c r="AI299" s="457"/>
      <c r="AJ299" s="173"/>
      <c r="AK299" s="464" t="s">
        <v>711</v>
      </c>
      <c r="AL299" s="465"/>
      <c r="AM299" s="466">
        <f t="shared" si="59"/>
        <v>1</v>
      </c>
      <c r="AN299" s="173" t="str">
        <f>IF(AM299=0,"The target’s vision is mildly impaired. No additional effect.","")</f>
        <v/>
      </c>
      <c r="AO299" s="457"/>
      <c r="AP299" s="173"/>
      <c r="AQ299" s="173"/>
      <c r="AR299" s="217"/>
      <c r="AS299" s="218"/>
    </row>
    <row r="300">
      <c r="A300" s="218"/>
      <c r="B300" s="173"/>
      <c r="C300" s="173"/>
      <c r="D300" s="173"/>
      <c r="E300" s="173"/>
      <c r="F300" s="173"/>
      <c r="G300" s="173"/>
      <c r="H300" s="173"/>
      <c r="I300" s="470" t="str">
        <f>L32</f>
        <v>Nothing</v>
      </c>
      <c r="M300" s="471" t="str">
        <f>IF(I300="Nothing","",VLOOKUP(I300,C215:J229,2,FALSE))</f>
        <v/>
      </c>
      <c r="N300" s="471" t="str">
        <f>IF(I300="Nothing","",VLOOKUP(I300,C215:J229,3,FALSE))</f>
        <v/>
      </c>
      <c r="O300" s="470" t="s">
        <v>712</v>
      </c>
      <c r="P300" s="471" t="str">
        <f>IF(I300="Nothing","",IF(AND(R300="Blast",P32="Close"),VLOOKUP(I300,C215:J229,4,FALSE)+1,VLOOKUP(I300,C215:J229,4,FALSE)))</f>
        <v/>
      </c>
      <c r="Q300" s="471" t="str">
        <f>IF(I300="Nothing","",IF(AND(R300="Blast",P32="Close"),VLOOKUP(I300,C215:J229,6,FALSE)-1,VLOOKUP(I300,C215:J229,6,FALSE)))</f>
        <v/>
      </c>
      <c r="R300" s="471" t="str">
        <f>IF(I300="Nothing","",VLOOKUP(I300,C215:J229,8,FALSE))</f>
        <v/>
      </c>
      <c r="S300" s="471" t="str">
        <f>IF(I300="Nothing","",VLOOKUP(I300,C215:J229,7,FALSE))</f>
        <v/>
      </c>
      <c r="T300" s="470" t="s">
        <v>713</v>
      </c>
      <c r="U300" s="470" t="s">
        <v>26</v>
      </c>
      <c r="W300" s="173"/>
      <c r="X300" s="173"/>
      <c r="Y300" s="472"/>
      <c r="Z300" s="473"/>
      <c r="AA300" s="473"/>
      <c r="AB300" s="473"/>
      <c r="AC300" s="473"/>
      <c r="AD300" s="173"/>
      <c r="AE300" s="173"/>
      <c r="AF300" s="457"/>
      <c r="AG300" s="457"/>
      <c r="AH300" s="457"/>
      <c r="AI300" s="457"/>
      <c r="AJ300" s="173"/>
      <c r="AK300" s="464" t="s">
        <v>714</v>
      </c>
      <c r="AL300" s="465"/>
      <c r="AM300" s="466">
        <f t="shared" si="59"/>
        <v>1</v>
      </c>
      <c r="AN300" s="173" t="str">
        <f>IF(AM300=0,"The target suffers from unpleasant physical sensations. No additional effect.","")</f>
        <v/>
      </c>
      <c r="AO300" s="457"/>
      <c r="AP300" s="173"/>
      <c r="AQ300" s="173"/>
      <c r="AR300" s="217"/>
      <c r="AS300" s="218"/>
    </row>
    <row r="301">
      <c r="A301" s="218"/>
      <c r="B301" s="173"/>
      <c r="C301" s="173"/>
      <c r="D301" s="173"/>
      <c r="E301" s="173"/>
      <c r="F301" s="173"/>
      <c r="G301" s="173"/>
      <c r="H301" s="173"/>
      <c r="I301" s="448" t="s">
        <v>715</v>
      </c>
      <c r="M301" s="448" t="s">
        <v>4</v>
      </c>
      <c r="N301" s="448" t="s">
        <v>6</v>
      </c>
      <c r="O301" s="448" t="s">
        <v>7</v>
      </c>
      <c r="P301" s="448" t="s">
        <v>11</v>
      </c>
      <c r="Q301" s="448" t="s">
        <v>45</v>
      </c>
      <c r="R301" s="448" t="s">
        <v>19</v>
      </c>
      <c r="S301" s="448" t="s">
        <v>14</v>
      </c>
      <c r="T301" s="448" t="s">
        <v>640</v>
      </c>
      <c r="U301" s="448" t="s">
        <v>716</v>
      </c>
      <c r="V301" s="448" t="s">
        <v>11</v>
      </c>
      <c r="W301" s="173"/>
      <c r="X301" s="173"/>
      <c r="Y301" s="472"/>
      <c r="Z301" s="473"/>
      <c r="AA301" s="473"/>
      <c r="AB301" s="473"/>
      <c r="AC301" s="473"/>
      <c r="AD301" s="173"/>
      <c r="AE301" s="173"/>
      <c r="AF301" s="457"/>
      <c r="AG301" s="457"/>
      <c r="AH301" s="457"/>
      <c r="AI301" s="457"/>
      <c r="AJ301" s="173"/>
      <c r="AK301" s="464" t="s">
        <v>717</v>
      </c>
      <c r="AL301" s="465"/>
      <c r="AM301" s="466">
        <f t="shared" si="59"/>
        <v>1</v>
      </c>
      <c r="AN301" s="173" t="str">
        <f>IF(AM301=0,"The target feels sick. No additional effect.","")</f>
        <v/>
      </c>
      <c r="AO301" s="457"/>
      <c r="AP301" s="173"/>
      <c r="AQ301" s="173"/>
      <c r="AR301" s="217"/>
      <c r="AS301" s="218"/>
    </row>
    <row r="302">
      <c r="A302" s="218"/>
      <c r="B302" s="173"/>
      <c r="C302" s="173"/>
      <c r="D302" s="173"/>
      <c r="E302" s="173"/>
      <c r="F302" s="173"/>
      <c r="G302" s="173"/>
      <c r="H302" s="173"/>
      <c r="I302" s="470" t="str">
        <f>L33</f>
        <v>Nothing</v>
      </c>
      <c r="M302" s="471" t="str">
        <f>IF(I302="Nothing","",VLOOKUP(I302,C157:Q176,2,FALSE))</f>
        <v/>
      </c>
      <c r="N302" s="471" t="str">
        <f>IF(I302="Nothing","",VLOOKUP(I302,C157:Q176,3,FALSE))</f>
        <v/>
      </c>
      <c r="O302" s="470" t="s">
        <v>718</v>
      </c>
      <c r="P302" s="471" t="str">
        <f>IF(I302="Nothing","",VLOOKUP(I302,C157:Q176,5,FALSE))</f>
        <v/>
      </c>
      <c r="Q302" s="470"/>
      <c r="R302" s="471" t="str">
        <f>IF(I302="Nothing","",VLOOKUP(I302,C157:Q176,12,FALSE))</f>
        <v/>
      </c>
      <c r="S302" s="471" t="str">
        <f>IF(I302="Nothing","",VLOOKUP(I302,C157:Q176,13,FALSE))</f>
        <v/>
      </c>
      <c r="T302" s="470" t="s">
        <v>719</v>
      </c>
      <c r="U302" s="470" t="s">
        <v>720</v>
      </c>
      <c r="V302" s="470" t="s">
        <v>719</v>
      </c>
      <c r="W302" s="173"/>
      <c r="X302" s="173"/>
      <c r="Y302" s="472"/>
      <c r="Z302" s="473"/>
      <c r="AA302" s="473"/>
      <c r="AB302" s="473"/>
      <c r="AC302" s="473"/>
      <c r="AD302" s="173"/>
      <c r="AE302" s="173"/>
      <c r="AF302" s="457"/>
      <c r="AG302" s="457"/>
      <c r="AH302" s="457"/>
      <c r="AI302" s="457"/>
      <c r="AJ302" s="173"/>
      <c r="AK302" s="464" t="s">
        <v>721</v>
      </c>
      <c r="AL302" s="465"/>
      <c r="AM302" s="466">
        <f t="shared" si="59"/>
        <v>1</v>
      </c>
      <c r="AN302" s="173" t="str">
        <f>IF(AM302=0,"The target is tired. No additional effect.","")</f>
        <v/>
      </c>
      <c r="AO302" s="457"/>
      <c r="AP302" s="173"/>
      <c r="AQ302" s="173"/>
      <c r="AR302" s="217"/>
      <c r="AS302" s="218"/>
    </row>
    <row r="303">
      <c r="A303" s="218"/>
      <c r="B303" s="173"/>
      <c r="C303" s="173"/>
      <c r="D303" s="173"/>
      <c r="E303" s="173"/>
      <c r="F303" s="173"/>
      <c r="G303" s="173"/>
      <c r="H303" s="173"/>
      <c r="I303" s="448" t="s">
        <v>722</v>
      </c>
      <c r="M303" s="448" t="s">
        <v>4</v>
      </c>
      <c r="N303" s="448" t="s">
        <v>6</v>
      </c>
      <c r="O303" s="448" t="s">
        <v>7</v>
      </c>
      <c r="P303" s="448" t="s">
        <v>11</v>
      </c>
      <c r="Q303" s="448" t="s">
        <v>45</v>
      </c>
      <c r="R303" s="448" t="s">
        <v>19</v>
      </c>
      <c r="S303" s="448" t="s">
        <v>14</v>
      </c>
      <c r="T303" s="448" t="s">
        <v>19</v>
      </c>
      <c r="U303" s="448" t="s">
        <v>79</v>
      </c>
      <c r="V303" s="448" t="s">
        <v>3</v>
      </c>
      <c r="W303" s="173"/>
      <c r="X303" s="173"/>
      <c r="Y303" s="472"/>
      <c r="Z303" s="473"/>
      <c r="AA303" s="473"/>
      <c r="AB303" s="473"/>
      <c r="AC303" s="473"/>
      <c r="AD303" s="173"/>
      <c r="AE303" s="173"/>
      <c r="AF303" s="457"/>
      <c r="AG303" s="457"/>
      <c r="AH303" s="457"/>
      <c r="AI303" s="457"/>
      <c r="AJ303" s="173"/>
      <c r="AK303" s="464" t="s">
        <v>723</v>
      </c>
      <c r="AL303" s="465"/>
      <c r="AM303" s="466">
        <f t="shared" ref="AM303:AM321" si="60">IF(NOT(E58="-"),0,1)</f>
        <v>1</v>
      </c>
      <c r="AN303" s="173" t="str">
        <f>IF(AM303=0,"The target stumbles 5’ in a randomly determined direction.","")</f>
        <v/>
      </c>
      <c r="AO303" s="457"/>
      <c r="AP303" s="173"/>
      <c r="AQ303" s="173"/>
      <c r="AR303" s="217"/>
      <c r="AS303" s="218"/>
    </row>
    <row r="304">
      <c r="A304" s="218"/>
      <c r="B304" s="173"/>
      <c r="C304" s="173"/>
      <c r="D304" s="173"/>
      <c r="E304" s="173"/>
      <c r="F304" s="173"/>
      <c r="G304" s="173"/>
      <c r="H304" s="173"/>
      <c r="I304" s="470" t="str">
        <f>L34</f>
        <v>Nothing</v>
      </c>
      <c r="M304" s="471" t="str">
        <f>IF(I304="Nothing","",VLOOKUP(I304,C201:I214,2,FALSE))</f>
        <v/>
      </c>
      <c r="N304" s="471" t="str">
        <f>IF(I304="Nothing","",VLOOKUP(I304,C201:I214,3,FALSE))</f>
        <v/>
      </c>
      <c r="O304" s="471" t="str">
        <f>IF(I304="Nothing","",VLOOKUP(I304,C201:I214,6,FALSE))</f>
        <v/>
      </c>
      <c r="P304" s="470"/>
      <c r="Q304" s="470"/>
      <c r="R304" s="470"/>
      <c r="S304" s="471" t="str">
        <f>IF(I304="Nothing","",VLOOKUP(I304,C201:I214,5,FALSE))</f>
        <v/>
      </c>
      <c r="T304" s="470"/>
      <c r="U304" s="471"/>
      <c r="V304" s="470"/>
      <c r="W304" s="173"/>
      <c r="X304" s="173"/>
      <c r="Y304" s="472"/>
      <c r="Z304" s="473"/>
      <c r="AA304" s="474"/>
      <c r="AB304" s="473"/>
      <c r="AC304" s="473"/>
      <c r="AD304" s="173"/>
      <c r="AE304" s="173"/>
      <c r="AF304" s="457"/>
      <c r="AG304" s="457"/>
      <c r="AH304" s="457"/>
      <c r="AI304" s="457"/>
      <c r="AJ304" s="173"/>
      <c r="AK304" s="464" t="s">
        <v>724</v>
      </c>
      <c r="AL304" s="465"/>
      <c r="AM304" s="466">
        <f t="shared" si="60"/>
        <v>1</v>
      </c>
      <c r="AN304" s="173" t="str">
        <f>IF(AM304=0,"The target is unable to take any non-attack actions, although it can refrain from action.","")</f>
        <v/>
      </c>
      <c r="AO304" s="457"/>
      <c r="AP304" s="173"/>
      <c r="AQ304" s="173"/>
      <c r="AR304" s="217"/>
      <c r="AS304" s="218"/>
    </row>
    <row r="305">
      <c r="A305" s="218"/>
      <c r="B305" s="173"/>
      <c r="C305" s="173"/>
      <c r="D305" s="173"/>
      <c r="E305" s="173"/>
      <c r="F305" s="173"/>
      <c r="G305" s="173"/>
      <c r="H305" s="173"/>
      <c r="I305" s="173"/>
      <c r="J305" s="173"/>
      <c r="K305" s="173"/>
      <c r="L305" s="173"/>
      <c r="M305" s="173"/>
      <c r="N305" s="173"/>
      <c r="O305" s="173"/>
      <c r="P305" s="173"/>
      <c r="Q305" s="173"/>
      <c r="R305" s="173"/>
      <c r="S305" s="173"/>
      <c r="T305" s="173"/>
      <c r="U305" s="173"/>
      <c r="V305" s="173"/>
      <c r="W305" s="173"/>
      <c r="X305" s="173"/>
      <c r="Y305" s="472"/>
      <c r="Z305" s="473"/>
      <c r="AA305" s="473"/>
      <c r="AB305" s="473"/>
      <c r="AC305" s="473"/>
      <c r="AD305" s="173"/>
      <c r="AE305" s="173"/>
      <c r="AF305" s="457"/>
      <c r="AG305" s="457"/>
      <c r="AH305" s="457"/>
      <c r="AI305" s="457"/>
      <c r="AJ305" s="173"/>
      <c r="AK305" s="464" t="s">
        <v>725</v>
      </c>
      <c r="AL305" s="465"/>
      <c r="AM305" s="466">
        <f t="shared" si="60"/>
        <v>1</v>
      </c>
      <c r="AN305" s="173" t="str">
        <f>IF(AM305=0,"The target will obey short suggestions with a simple CHA vs. MENTAL DEFENSE attack.","")</f>
        <v/>
      </c>
      <c r="AO305" s="457"/>
      <c r="AP305" s="173"/>
      <c r="AQ305" s="173"/>
      <c r="AR305" s="217"/>
      <c r="AS305" s="218"/>
    </row>
    <row r="306">
      <c r="A306" s="218"/>
      <c r="B306" s="173"/>
      <c r="C306" s="173"/>
      <c r="D306" s="173"/>
      <c r="E306" s="173"/>
      <c r="F306" s="173"/>
      <c r="G306" s="173"/>
      <c r="H306" s="173"/>
      <c r="I306" s="173"/>
      <c r="J306" s="173"/>
      <c r="K306" s="173"/>
      <c r="L306" s="173"/>
      <c r="M306" s="173"/>
      <c r="N306" s="173"/>
      <c r="O306" s="173"/>
      <c r="P306" s="173"/>
      <c r="Q306" s="173"/>
      <c r="R306" s="173"/>
      <c r="S306" s="173"/>
      <c r="T306" s="173"/>
      <c r="U306" s="173"/>
      <c r="V306" s="173"/>
      <c r="W306" s="173"/>
      <c r="X306" s="173"/>
      <c r="Y306" s="472"/>
      <c r="Z306" s="473"/>
      <c r="AA306" s="473"/>
      <c r="AB306" s="473"/>
      <c r="AC306" s="473"/>
      <c r="AD306" s="173"/>
      <c r="AE306" s="173"/>
      <c r="AF306" s="457"/>
      <c r="AG306" s="457"/>
      <c r="AH306" s="457"/>
      <c r="AI306" s="457"/>
      <c r="AJ306" s="173"/>
      <c r="AK306" s="464" t="s">
        <v>726</v>
      </c>
      <c r="AL306" s="465"/>
      <c r="AM306" s="466">
        <f t="shared" si="60"/>
        <v>1</v>
      </c>
      <c r="AN306" s="173" t="str">
        <f>IF(AM306=0,"The target takes 1 point of damage any time it takes a second action in a turn.","")</f>
        <v/>
      </c>
      <c r="AO306" s="457"/>
      <c r="AP306" s="173"/>
      <c r="AQ306" s="173"/>
      <c r="AR306" s="217"/>
      <c r="AS306" s="218"/>
    </row>
    <row r="307">
      <c r="A307" s="218"/>
      <c r="B307" s="173"/>
      <c r="C307" s="173"/>
      <c r="D307" s="173"/>
      <c r="E307" s="173"/>
      <c r="F307" s="173"/>
      <c r="G307" s="173"/>
      <c r="H307" s="173"/>
      <c r="I307" s="173"/>
      <c r="J307" s="173"/>
      <c r="K307" s="173"/>
      <c r="L307" s="173"/>
      <c r="M307" s="173"/>
      <c r="N307" s="173"/>
      <c r="O307" s="173"/>
      <c r="P307" s="173"/>
      <c r="Q307" s="470" t="s">
        <v>727</v>
      </c>
      <c r="R307" s="173"/>
      <c r="S307" s="173"/>
      <c r="T307" s="175" t="s">
        <v>728</v>
      </c>
      <c r="U307" s="173"/>
      <c r="V307" s="173"/>
      <c r="W307" s="173"/>
      <c r="X307" s="173"/>
      <c r="Y307" s="472"/>
      <c r="Z307" s="473"/>
      <c r="AA307" s="473"/>
      <c r="AB307" s="473"/>
      <c r="AC307" s="473"/>
      <c r="AD307" s="173"/>
      <c r="AE307" s="173"/>
      <c r="AF307" s="457"/>
      <c r="AG307" s="457"/>
      <c r="AH307" s="457"/>
      <c r="AI307" s="457"/>
      <c r="AJ307" s="173"/>
      <c r="AK307" s="464" t="s">
        <v>729</v>
      </c>
      <c r="AL307" s="465"/>
      <c r="AM307" s="466">
        <f t="shared" si="60"/>
        <v>1</v>
      </c>
      <c r="AN307" s="173" t="str">
        <f>IF(AM307=0,"The target is unable to attack the source of the charm.","")</f>
        <v/>
      </c>
      <c r="AO307" s="457"/>
      <c r="AP307" s="173"/>
      <c r="AQ307" s="173"/>
      <c r="AR307" s="217"/>
      <c r="AS307" s="218"/>
    </row>
    <row r="308">
      <c r="A308" s="218"/>
      <c r="B308" s="173"/>
      <c r="C308" s="173"/>
      <c r="D308" s="173"/>
      <c r="E308" s="173"/>
      <c r="F308" s="173"/>
      <c r="G308" s="173"/>
      <c r="H308" s="173"/>
      <c r="I308" s="173"/>
      <c r="J308" s="173"/>
      <c r="K308" s="173"/>
      <c r="L308" s="173"/>
      <c r="M308" s="173"/>
      <c r="N308" s="173"/>
      <c r="O308" s="173"/>
      <c r="P308" s="173"/>
      <c r="Q308" s="173"/>
      <c r="R308" s="173"/>
      <c r="S308" s="173"/>
      <c r="T308" s="173"/>
      <c r="U308" s="173"/>
      <c r="V308" s="173"/>
      <c r="W308" s="173"/>
      <c r="X308" s="173"/>
      <c r="Y308" s="472"/>
      <c r="Z308" s="473"/>
      <c r="AA308" s="473"/>
      <c r="AB308" s="473"/>
      <c r="AC308" s="473"/>
      <c r="AD308" s="173"/>
      <c r="AE308" s="173"/>
      <c r="AF308" s="457"/>
      <c r="AG308" s="457"/>
      <c r="AH308" s="457"/>
      <c r="AI308" s="457"/>
      <c r="AJ308" s="173"/>
      <c r="AK308" s="464" t="s">
        <v>730</v>
      </c>
      <c r="AL308" s="465"/>
      <c r="AM308" s="466">
        <f t="shared" si="60"/>
        <v>1</v>
      </c>
      <c r="AN308" s="173" t="str">
        <f>IF(AM308=0,"The target cannot initiate hostile actions against targets who have not attacked it in the last minute.","")</f>
        <v/>
      </c>
      <c r="AO308" s="457"/>
      <c r="AP308" s="173"/>
      <c r="AQ308" s="173"/>
      <c r="AR308" s="217"/>
      <c r="AS308" s="218"/>
    </row>
    <row r="309">
      <c r="A309" s="218"/>
      <c r="B309" s="173"/>
      <c r="C309" s="173"/>
      <c r="D309" s="173"/>
      <c r="E309" s="173"/>
      <c r="F309" s="173"/>
      <c r="G309" s="173"/>
      <c r="H309" s="173"/>
      <c r="I309" s="173"/>
      <c r="J309" s="173"/>
      <c r="K309" s="173"/>
      <c r="L309" s="173"/>
      <c r="M309" s="173"/>
      <c r="N309" s="173"/>
      <c r="O309" s="173"/>
      <c r="P309" s="470" t="s">
        <v>731</v>
      </c>
      <c r="Q309" s="470" t="s">
        <v>732</v>
      </c>
      <c r="R309" s="470" t="s">
        <v>733</v>
      </c>
      <c r="S309" s="173"/>
      <c r="T309" s="173"/>
      <c r="U309" s="173"/>
      <c r="V309" s="173"/>
      <c r="W309" s="173"/>
      <c r="X309" s="173"/>
      <c r="Y309" s="472"/>
      <c r="Z309" s="473"/>
      <c r="AA309" s="473"/>
      <c r="AB309" s="473"/>
      <c r="AC309" s="473"/>
      <c r="AD309" s="173"/>
      <c r="AE309" s="173"/>
      <c r="AF309" s="457"/>
      <c r="AG309" s="457"/>
      <c r="AH309" s="457"/>
      <c r="AI309" s="457"/>
      <c r="AJ309" s="173"/>
      <c r="AK309" s="464" t="s">
        <v>734</v>
      </c>
      <c r="AL309" s="465"/>
      <c r="AM309" s="466">
        <f t="shared" si="60"/>
        <v>1</v>
      </c>
      <c r="AN309" s="173" t="str">
        <f>IF(AM309=0,"The target drops any items it is holding.","")</f>
        <v/>
      </c>
      <c r="AO309" s="457"/>
      <c r="AP309" s="173"/>
      <c r="AQ309" s="173"/>
      <c r="AR309" s="217"/>
      <c r="AS309" s="218"/>
    </row>
    <row r="310">
      <c r="A310" s="218"/>
      <c r="B310" s="173"/>
      <c r="C310" s="173"/>
      <c r="D310" s="173"/>
      <c r="E310" s="173"/>
      <c r="F310" s="173"/>
      <c r="G310" s="173"/>
      <c r="H310" s="173"/>
      <c r="I310" s="173"/>
      <c r="J310" s="173"/>
      <c r="K310" s="173"/>
      <c r="L310" s="173"/>
      <c r="M310" s="173"/>
      <c r="N310" s="173"/>
      <c r="O310" s="173"/>
      <c r="P310" s="173"/>
      <c r="Q310" s="173"/>
      <c r="R310" s="173"/>
      <c r="S310" s="173"/>
      <c r="T310" s="173"/>
      <c r="U310" s="173"/>
      <c r="V310" s="173"/>
      <c r="W310" s="173"/>
      <c r="X310" s="173"/>
      <c r="Y310" s="472"/>
      <c r="Z310" s="473"/>
      <c r="AA310" s="473"/>
      <c r="AB310" s="473"/>
      <c r="AC310" s="473"/>
      <c r="AD310" s="173"/>
      <c r="AE310" s="173"/>
      <c r="AF310" s="457"/>
      <c r="AG310" s="457"/>
      <c r="AH310" s="457"/>
      <c r="AI310" s="457"/>
      <c r="AJ310" s="173"/>
      <c r="AK310" s="464" t="s">
        <v>735</v>
      </c>
      <c r="AL310" s="465"/>
      <c r="AM310" s="466">
        <f t="shared" si="60"/>
        <v>1</v>
      </c>
      <c r="AN310" s="173" t="str">
        <f>IF(AM310=0,"The target gains +4 MENTAL DEFENSE.","")</f>
        <v/>
      </c>
      <c r="AO310" s="457"/>
      <c r="AP310" s="173"/>
      <c r="AQ310" s="173"/>
      <c r="AR310" s="217"/>
      <c r="AS310" s="218"/>
    </row>
    <row r="311">
      <c r="A311" s="218"/>
      <c r="B311" s="173"/>
      <c r="C311" s="173"/>
      <c r="D311" s="173"/>
      <c r="E311" s="173"/>
      <c r="F311" s="173"/>
      <c r="G311" s="173"/>
      <c r="H311" s="173"/>
      <c r="I311" s="173"/>
      <c r="J311" s="173"/>
      <c r="K311" s="173"/>
      <c r="L311" s="173"/>
      <c r="M311" s="173"/>
      <c r="N311" s="173"/>
      <c r="O311" s="173"/>
      <c r="P311" s="173"/>
      <c r="Q311" s="173"/>
      <c r="R311" s="173"/>
      <c r="S311" s="173"/>
      <c r="T311" s="173"/>
      <c r="U311" s="173"/>
      <c r="V311" s="173"/>
      <c r="W311" s="173"/>
      <c r="X311" s="173"/>
      <c r="Y311" s="472"/>
      <c r="Z311" s="473"/>
      <c r="AA311" s="473"/>
      <c r="AB311" s="473"/>
      <c r="AC311" s="473"/>
      <c r="AD311" s="173"/>
      <c r="AE311" s="173"/>
      <c r="AF311" s="457"/>
      <c r="AG311" s="457"/>
      <c r="AH311" s="457"/>
      <c r="AI311" s="457"/>
      <c r="AJ311" s="173"/>
      <c r="AK311" s="464" t="s">
        <v>736</v>
      </c>
      <c r="AL311" s="465"/>
      <c r="AM311" s="466">
        <f t="shared" si="60"/>
        <v>1</v>
      </c>
      <c r="AN311" s="173" t="str">
        <f>IF(AM311=0,"The target is asleep, but will awaken immediately with loud noises or physical contact.","")</f>
        <v/>
      </c>
      <c r="AO311" s="457"/>
      <c r="AP311" s="173"/>
      <c r="AQ311" s="173"/>
      <c r="AR311" s="217"/>
      <c r="AS311" s="218"/>
    </row>
    <row r="312">
      <c r="A312" s="218"/>
      <c r="B312" s="173"/>
      <c r="C312" s="173"/>
      <c r="D312" s="173"/>
      <c r="E312" s="173"/>
      <c r="F312" s="173"/>
      <c r="G312" s="173"/>
      <c r="H312" s="173"/>
      <c r="I312" s="173"/>
      <c r="J312" s="173"/>
      <c r="K312" s="173"/>
      <c r="L312" s="173"/>
      <c r="M312" s="173"/>
      <c r="N312" s="173"/>
      <c r="O312" s="173"/>
      <c r="P312" s="173"/>
      <c r="Q312" s="173"/>
      <c r="R312" s="173"/>
      <c r="S312" s="173"/>
      <c r="T312" s="173"/>
      <c r="U312" s="173"/>
      <c r="V312" s="173"/>
      <c r="W312" s="173"/>
      <c r="X312" s="173"/>
      <c r="Y312" s="173"/>
      <c r="Z312" s="173"/>
      <c r="AA312" s="173"/>
      <c r="AB312" s="173"/>
      <c r="AC312" s="173"/>
      <c r="AD312" s="457"/>
      <c r="AE312" s="457"/>
      <c r="AF312" s="457"/>
      <c r="AG312" s="457"/>
      <c r="AH312" s="457"/>
      <c r="AI312" s="457"/>
      <c r="AJ312" s="457"/>
      <c r="AK312" s="464" t="s">
        <v>737</v>
      </c>
      <c r="AL312" s="465"/>
      <c r="AM312" s="466">
        <f t="shared" si="60"/>
        <v>1</v>
      </c>
      <c r="AN312" s="173" t="str">
        <f>IF(AM312=0,"The target feels fear and cannot approach the source of the fear.","")</f>
        <v/>
      </c>
      <c r="AO312" s="457"/>
      <c r="AP312" s="173"/>
      <c r="AQ312" s="173"/>
      <c r="AR312" s="217"/>
      <c r="AS312" s="218"/>
    </row>
    <row r="313">
      <c r="A313" s="218"/>
      <c r="B313" s="173"/>
      <c r="C313" s="173"/>
      <c r="D313" s="173"/>
      <c r="E313" s="173"/>
      <c r="F313" s="173"/>
      <c r="G313" s="173"/>
      <c r="H313" s="173"/>
      <c r="I313" s="173"/>
      <c r="J313" s="173"/>
      <c r="K313" s="173"/>
      <c r="L313" s="173"/>
      <c r="M313" s="173"/>
      <c r="N313" s="173"/>
      <c r="O313" s="173"/>
      <c r="P313" s="173"/>
      <c r="Q313" s="173"/>
      <c r="R313" s="173"/>
      <c r="S313" s="173"/>
      <c r="T313" s="173"/>
      <c r="U313" s="173"/>
      <c r="V313" s="173"/>
      <c r="W313" s="173"/>
      <c r="X313" s="173"/>
      <c r="Y313" s="173"/>
      <c r="Z313" s="173"/>
      <c r="AA313" s="173"/>
      <c r="AB313" s="173"/>
      <c r="AC313" s="173"/>
      <c r="AD313" s="457"/>
      <c r="AE313" s="457"/>
      <c r="AF313" s="457"/>
      <c r="AG313" s="457"/>
      <c r="AH313" s="457"/>
      <c r="AI313" s="457"/>
      <c r="AJ313" s="457"/>
      <c r="AK313" s="464" t="s">
        <v>738</v>
      </c>
      <c r="AL313" s="465"/>
      <c r="AM313" s="466">
        <f t="shared" si="60"/>
        <v>1</v>
      </c>
      <c r="AN313" s="173" t="str">
        <f>IF(AM313=0,"The target takes 1 point of heat damage per round if wearing metal armor.","")</f>
        <v/>
      </c>
      <c r="AO313" s="457"/>
      <c r="AP313" s="173"/>
      <c r="AQ313" s="173"/>
      <c r="AR313" s="217"/>
      <c r="AS313" s="218"/>
    </row>
    <row r="314">
      <c r="A314" s="218"/>
      <c r="B314" s="173"/>
      <c r="C314" s="173"/>
      <c r="D314" s="173"/>
      <c r="E314" s="173"/>
      <c r="F314" s="173"/>
      <c r="G314" s="173"/>
      <c r="H314" s="173"/>
      <c r="I314" s="173"/>
      <c r="J314" s="173"/>
      <c r="K314" s="173"/>
      <c r="L314" s="173"/>
      <c r="M314" s="173"/>
      <c r="N314" s="173"/>
      <c r="O314" s="173"/>
      <c r="P314" s="173"/>
      <c r="Q314" s="173"/>
      <c r="R314" s="173"/>
      <c r="S314" s="173"/>
      <c r="T314" s="173"/>
      <c r="U314" s="173"/>
      <c r="V314" s="173"/>
      <c r="W314" s="173"/>
      <c r="X314" s="173"/>
      <c r="Y314" s="173"/>
      <c r="Z314" s="173"/>
      <c r="AA314" s="173"/>
      <c r="AB314" s="173"/>
      <c r="AC314" s="173"/>
      <c r="AD314" s="457"/>
      <c r="AE314" s="457"/>
      <c r="AF314" s="457"/>
      <c r="AG314" s="457"/>
      <c r="AH314" s="457"/>
      <c r="AI314" s="457"/>
      <c r="AJ314" s="457"/>
      <c r="AK314" s="464" t="s">
        <v>739</v>
      </c>
      <c r="AL314" s="465"/>
      <c r="AM314" s="466">
        <f t="shared" si="60"/>
        <v>1</v>
      </c>
      <c r="AN314" s="173" t="str">
        <f>IF(AM314=0,"The target cannot hear speech more than 30’ away.","")</f>
        <v/>
      </c>
      <c r="AO314" s="457"/>
      <c r="AP314" s="173"/>
      <c r="AQ314" s="173"/>
      <c r="AR314" s="217"/>
      <c r="AS314" s="218"/>
    </row>
    <row r="315">
      <c r="A315" s="218"/>
      <c r="B315" s="173"/>
      <c r="C315" s="173"/>
      <c r="D315" s="173"/>
      <c r="E315" s="173"/>
      <c r="F315" s="173"/>
      <c r="G315" s="173"/>
      <c r="H315" s="173"/>
      <c r="I315" s="173"/>
      <c r="J315" s="173"/>
      <c r="K315" s="173"/>
      <c r="L315" s="173"/>
      <c r="M315" s="173"/>
      <c r="N315" s="173"/>
      <c r="O315" s="173"/>
      <c r="P315" s="173"/>
      <c r="Q315" s="173"/>
      <c r="R315" s="173"/>
      <c r="S315" s="173"/>
      <c r="T315" s="173"/>
      <c r="U315" s="173"/>
      <c r="V315" s="173"/>
      <c r="W315" s="173"/>
      <c r="X315" s="173"/>
      <c r="Y315" s="173"/>
      <c r="Z315" s="173"/>
      <c r="AA315" s="173"/>
      <c r="AB315" s="173"/>
      <c r="AC315" s="173"/>
      <c r="AD315" s="457"/>
      <c r="AE315" s="457"/>
      <c r="AF315" s="457"/>
      <c r="AG315" s="457"/>
      <c r="AH315" s="457"/>
      <c r="AI315" s="457"/>
      <c r="AJ315" s="457"/>
      <c r="AK315" s="464" t="s">
        <v>740</v>
      </c>
      <c r="AL315" s="465"/>
      <c r="AM315" s="466">
        <f t="shared" si="60"/>
        <v>1</v>
      </c>
      <c r="AN315" s="173" t="str">
        <f>IF(AM315=0,"The target cannot double-move in a single round without falling prone.","")</f>
        <v/>
      </c>
      <c r="AO315" s="457"/>
      <c r="AP315" s="173"/>
      <c r="AQ315" s="173"/>
      <c r="AR315" s="217"/>
      <c r="AS315" s="218"/>
    </row>
    <row r="316">
      <c r="A316" s="218"/>
      <c r="B316" s="173"/>
      <c r="C316" s="173"/>
      <c r="D316" s="173"/>
      <c r="E316" s="173"/>
      <c r="F316" s="173"/>
      <c r="G316" s="173"/>
      <c r="H316" s="173"/>
      <c r="I316" s="173"/>
      <c r="J316" s="173"/>
      <c r="K316" s="173"/>
      <c r="L316" s="173"/>
      <c r="M316" s="173"/>
      <c r="N316" s="173"/>
      <c r="O316" s="173"/>
      <c r="P316" s="173"/>
      <c r="Q316" s="173"/>
      <c r="R316" s="173"/>
      <c r="S316" s="173"/>
      <c r="T316" s="173"/>
      <c r="U316" s="173"/>
      <c r="V316" s="173"/>
      <c r="W316" s="173"/>
      <c r="X316" s="173"/>
      <c r="Y316" s="173"/>
      <c r="Z316" s="173"/>
      <c r="AA316" s="173"/>
      <c r="AB316" s="173"/>
      <c r="AC316" s="173"/>
      <c r="AD316" s="457"/>
      <c r="AE316" s="457"/>
      <c r="AF316" s="457"/>
      <c r="AG316" s="457"/>
      <c r="AH316" s="457"/>
      <c r="AI316" s="457"/>
      <c r="AJ316" s="457"/>
      <c r="AK316" s="464" t="s">
        <v>741</v>
      </c>
      <c r="AL316" s="465"/>
      <c r="AM316" s="466">
        <f t="shared" si="60"/>
        <v>1</v>
      </c>
      <c r="AN316" s="173" t="str">
        <f>IF(AM316=0,"The target's psionic powers take two actions, rather than one.","")</f>
        <v/>
      </c>
      <c r="AO316" s="457"/>
      <c r="AP316" s="173"/>
      <c r="AQ316" s="173"/>
      <c r="AR316" s="217"/>
      <c r="AS316" s="218"/>
    </row>
    <row r="317">
      <c r="A317" s="218"/>
      <c r="B317" s="173"/>
      <c r="C317" s="173"/>
      <c r="D317" s="173"/>
      <c r="E317" s="173"/>
      <c r="F317" s="173"/>
      <c r="G317" s="173"/>
      <c r="H317" s="173"/>
      <c r="I317" s="173"/>
      <c r="J317" s="173"/>
      <c r="K317" s="173"/>
      <c r="L317" s="173"/>
      <c r="M317" s="173"/>
      <c r="N317" s="173"/>
      <c r="O317" s="173"/>
      <c r="P317" s="173"/>
      <c r="Q317" s="173"/>
      <c r="R317" s="173"/>
      <c r="S317" s="173"/>
      <c r="T317" s="173"/>
      <c r="U317" s="173"/>
      <c r="V317" s="173"/>
      <c r="W317" s="173"/>
      <c r="X317" s="173"/>
      <c r="Y317" s="173"/>
      <c r="Z317" s="173"/>
      <c r="AA317" s="173"/>
      <c r="AB317" s="173"/>
      <c r="AC317" s="173"/>
      <c r="AD317" s="457"/>
      <c r="AE317" s="457"/>
      <c r="AF317" s="457"/>
      <c r="AG317" s="457"/>
      <c r="AH317" s="457"/>
      <c r="AI317" s="457"/>
      <c r="AJ317" s="457"/>
      <c r="AK317" s="464" t="s">
        <v>391</v>
      </c>
      <c r="AL317" s="465"/>
      <c r="AM317" s="466">
        <f t="shared" si="60"/>
        <v>1</v>
      </c>
      <c r="AN317" s="173" t="str">
        <f>IF(AM317=0,"The target moves at half SPEED.","")</f>
        <v/>
      </c>
      <c r="AO317" s="457"/>
      <c r="AP317" s="173"/>
      <c r="AQ317" s="173"/>
      <c r="AR317" s="217"/>
      <c r="AS317" s="218"/>
    </row>
    <row r="318">
      <c r="A318" s="218"/>
      <c r="B318" s="173"/>
      <c r="C318" s="173"/>
      <c r="D318" s="173"/>
      <c r="E318" s="173"/>
      <c r="F318" s="173"/>
      <c r="G318" s="173"/>
      <c r="H318" s="173"/>
      <c r="I318" s="173"/>
      <c r="J318" s="173"/>
      <c r="K318" s="173"/>
      <c r="L318" s="173"/>
      <c r="M318" s="173"/>
      <c r="N318" s="173"/>
      <c r="O318" s="173"/>
      <c r="P318" s="173"/>
      <c r="Q318" s="173"/>
      <c r="R318" s="173"/>
      <c r="S318" s="173"/>
      <c r="T318" s="173"/>
      <c r="U318" s="173"/>
      <c r="V318" s="173"/>
      <c r="W318" s="173"/>
      <c r="X318" s="173"/>
      <c r="Y318" s="173"/>
      <c r="Z318" s="173"/>
      <c r="AA318" s="173"/>
      <c r="AB318" s="173"/>
      <c r="AC318" s="173"/>
      <c r="AD318" s="457"/>
      <c r="AE318" s="457"/>
      <c r="AF318" s="457"/>
      <c r="AG318" s="457"/>
      <c r="AH318" s="457"/>
      <c r="AI318" s="457"/>
      <c r="AJ318" s="457"/>
      <c r="AK318" s="464" t="s">
        <v>742</v>
      </c>
      <c r="AL318" s="465"/>
      <c r="AM318" s="466">
        <f t="shared" si="60"/>
        <v>1</v>
      </c>
      <c r="AN318" s="173" t="str">
        <f>IF(AM318=0,"The target’s vision is impaired, limiting it to one range increment for ranged attacks.","")</f>
        <v/>
      </c>
      <c r="AO318" s="457"/>
      <c r="AP318" s="173"/>
      <c r="AQ318" s="173"/>
      <c r="AR318" s="217"/>
      <c r="AS318" s="218"/>
    </row>
    <row r="319">
      <c r="A319" s="218"/>
      <c r="B319" s="173"/>
      <c r="C319" s="173"/>
      <c r="D319" s="173"/>
      <c r="E319" s="173"/>
      <c r="F319" s="173"/>
      <c r="G319" s="173"/>
      <c r="H319" s="173"/>
      <c r="I319" s="173"/>
      <c r="J319" s="173"/>
      <c r="K319" s="173"/>
      <c r="L319" s="173"/>
      <c r="M319" s="173"/>
      <c r="N319" s="173"/>
      <c r="O319" s="173"/>
      <c r="P319" s="173"/>
      <c r="Q319" s="173"/>
      <c r="R319" s="173"/>
      <c r="S319" s="173"/>
      <c r="T319" s="173"/>
      <c r="U319" s="173"/>
      <c r="V319" s="173"/>
      <c r="W319" s="173"/>
      <c r="X319" s="173"/>
      <c r="Y319" s="173"/>
      <c r="Z319" s="173"/>
      <c r="AA319" s="173"/>
      <c r="AB319" s="173"/>
      <c r="AC319" s="173"/>
      <c r="AD319" s="457"/>
      <c r="AE319" s="457"/>
      <c r="AF319" s="457"/>
      <c r="AG319" s="457"/>
      <c r="AH319" s="457"/>
      <c r="AI319" s="457"/>
      <c r="AJ319" s="457"/>
      <c r="AK319" s="464" t="s">
        <v>743</v>
      </c>
      <c r="AL319" s="465"/>
      <c r="AM319" s="466">
        <f t="shared" si="60"/>
        <v>1</v>
      </c>
      <c r="AN319" s="173" t="str">
        <f>IF(AM319=0,"Pain causes a -2 SPEED penalty.","")</f>
        <v/>
      </c>
      <c r="AO319" s="457"/>
      <c r="AP319" s="173"/>
      <c r="AQ319" s="173"/>
      <c r="AR319" s="217"/>
      <c r="AS319" s="218"/>
    </row>
    <row r="320">
      <c r="A320" s="218"/>
      <c r="B320" s="173"/>
      <c r="C320" s="173"/>
      <c r="D320" s="173"/>
      <c r="E320" s="173"/>
      <c r="F320" s="173"/>
      <c r="G320" s="173"/>
      <c r="H320" s="173"/>
      <c r="I320" s="173"/>
      <c r="J320" s="173"/>
      <c r="K320" s="173"/>
      <c r="L320" s="173"/>
      <c r="M320" s="173"/>
      <c r="N320" s="173"/>
      <c r="O320" s="173"/>
      <c r="P320" s="173"/>
      <c r="Q320" s="173"/>
      <c r="R320" s="173"/>
      <c r="S320" s="173"/>
      <c r="T320" s="173"/>
      <c r="U320" s="173"/>
      <c r="V320" s="173"/>
      <c r="W320" s="173"/>
      <c r="X320" s="173"/>
      <c r="Y320" s="173"/>
      <c r="Z320" s="173"/>
      <c r="AA320" s="173"/>
      <c r="AB320" s="173"/>
      <c r="AC320" s="173"/>
      <c r="AD320" s="457"/>
      <c r="AE320" s="457"/>
      <c r="AF320" s="457"/>
      <c r="AG320" s="457"/>
      <c r="AH320" s="457"/>
      <c r="AI320" s="457"/>
      <c r="AJ320" s="457"/>
      <c r="AK320" s="464" t="s">
        <v>744</v>
      </c>
      <c r="AL320" s="465"/>
      <c r="AM320" s="466">
        <f t="shared" si="60"/>
        <v>1</v>
      </c>
      <c r="AN320" s="173" t="str">
        <f>IF(AM320=0,"If the target climbs or jumps, that is the only action it can take that round.","")</f>
        <v/>
      </c>
      <c r="AO320" s="457"/>
      <c r="AP320" s="173"/>
      <c r="AQ320" s="173"/>
      <c r="AR320" s="217"/>
      <c r="AS320" s="218"/>
    </row>
    <row r="321">
      <c r="A321" s="218"/>
      <c r="B321" s="173"/>
      <c r="C321" s="173"/>
      <c r="D321" s="173"/>
      <c r="E321" s="173"/>
      <c r="F321" s="173"/>
      <c r="G321" s="173"/>
      <c r="H321" s="173"/>
      <c r="I321" s="173"/>
      <c r="J321" s="173"/>
      <c r="K321" s="173"/>
      <c r="L321" s="173"/>
      <c r="M321" s="173"/>
      <c r="N321" s="173"/>
      <c r="O321" s="173"/>
      <c r="P321" s="173"/>
      <c r="Q321" s="173"/>
      <c r="R321" s="173"/>
      <c r="S321" s="173"/>
      <c r="T321" s="173"/>
      <c r="U321" s="173"/>
      <c r="V321" s="173"/>
      <c r="W321" s="173"/>
      <c r="X321" s="173"/>
      <c r="Y321" s="173"/>
      <c r="Z321" s="173"/>
      <c r="AA321" s="173"/>
      <c r="AB321" s="173"/>
      <c r="AC321" s="173"/>
      <c r="AD321" s="457"/>
      <c r="AE321" s="457"/>
      <c r="AF321" s="457"/>
      <c r="AG321" s="457"/>
      <c r="AH321" s="457"/>
      <c r="AI321" s="457"/>
      <c r="AJ321" s="457"/>
      <c r="AK321" s="464" t="s">
        <v>745</v>
      </c>
      <c r="AL321" s="465"/>
      <c r="AM321" s="466">
        <f t="shared" si="60"/>
        <v>1</v>
      </c>
      <c r="AN321" s="173" t="str">
        <f>IF(AM321=0,"The target cannot double-move in a single round.","")</f>
        <v/>
      </c>
      <c r="AO321" s="457"/>
      <c r="AP321" s="173"/>
      <c r="AQ321" s="173"/>
      <c r="AR321" s="217"/>
      <c r="AS321" s="218"/>
    </row>
    <row r="322">
      <c r="A322" s="218"/>
      <c r="B322" s="173"/>
      <c r="C322" s="173"/>
      <c r="D322" s="173"/>
      <c r="E322" s="173"/>
      <c r="F322" s="173"/>
      <c r="G322" s="173"/>
      <c r="H322" s="173"/>
      <c r="I322" s="173"/>
      <c r="J322" s="173"/>
      <c r="K322" s="173"/>
      <c r="L322" s="173"/>
      <c r="M322" s="173"/>
      <c r="N322" s="173"/>
      <c r="O322" s="173"/>
      <c r="P322" s="173"/>
      <c r="Q322" s="173"/>
      <c r="R322" s="173"/>
      <c r="S322" s="173"/>
      <c r="T322" s="173"/>
      <c r="U322" s="173"/>
      <c r="V322" s="173"/>
      <c r="W322" s="173"/>
      <c r="X322" s="173"/>
      <c r="Y322" s="173"/>
      <c r="Z322" s="173"/>
      <c r="AA322" s="173"/>
      <c r="AB322" s="173"/>
      <c r="AC322" s="173"/>
      <c r="AD322" s="457"/>
      <c r="AE322" s="457"/>
      <c r="AF322" s="457"/>
      <c r="AG322" s="457"/>
      <c r="AH322" s="457"/>
      <c r="AI322" s="457"/>
      <c r="AJ322" s="457"/>
      <c r="AK322" s="464" t="s">
        <v>746</v>
      </c>
      <c r="AL322" s="465"/>
      <c r="AM322" s="466">
        <f t="shared" ref="AM322:AM340" si="61">IF(NOT(F58="-"),0,1)</f>
        <v>1</v>
      </c>
      <c r="AN322" s="173" t="str">
        <f>IF(AM322=0,"The target can take only one action per round.","")</f>
        <v/>
      </c>
      <c r="AO322" s="457"/>
      <c r="AP322" s="173"/>
      <c r="AQ322" s="173"/>
      <c r="AR322" s="217"/>
      <c r="AS322" s="218"/>
    </row>
    <row r="323">
      <c r="A323" s="218"/>
      <c r="B323" s="173"/>
      <c r="C323" s="173"/>
      <c r="D323" s="173"/>
      <c r="E323" s="173"/>
      <c r="F323" s="173"/>
      <c r="G323" s="173"/>
      <c r="H323" s="173"/>
      <c r="I323" s="173"/>
      <c r="J323" s="173"/>
      <c r="K323" s="173"/>
      <c r="L323" s="173"/>
      <c r="M323" s="173"/>
      <c r="N323" s="173"/>
      <c r="O323" s="173"/>
      <c r="P323" s="173"/>
      <c r="Q323" s="173"/>
      <c r="R323" s="173"/>
      <c r="S323" s="173"/>
      <c r="T323" s="173"/>
      <c r="U323" s="173"/>
      <c r="V323" s="173"/>
      <c r="W323" s="173"/>
      <c r="X323" s="173"/>
      <c r="Y323" s="173"/>
      <c r="Z323" s="173"/>
      <c r="AA323" s="173"/>
      <c r="AB323" s="173"/>
      <c r="AC323" s="173"/>
      <c r="AD323" s="457"/>
      <c r="AE323" s="457"/>
      <c r="AF323" s="457"/>
      <c r="AG323" s="457"/>
      <c r="AH323" s="457"/>
      <c r="AI323" s="457"/>
      <c r="AJ323" s="457"/>
      <c r="AK323" s="464" t="s">
        <v>747</v>
      </c>
      <c r="AL323" s="465"/>
      <c r="AM323" s="466">
        <f t="shared" si="61"/>
        <v>1</v>
      </c>
      <c r="AN323" s="173" t="str">
        <f>IF(AM323=0,"The target can only attack the nearest enemy.","")</f>
        <v/>
      </c>
      <c r="AO323" s="457"/>
      <c r="AP323" s="173"/>
      <c r="AQ323" s="173"/>
      <c r="AR323" s="217"/>
      <c r="AS323" s="218"/>
    </row>
    <row r="324">
      <c r="A324" s="218"/>
      <c r="B324" s="173"/>
      <c r="C324" s="173"/>
      <c r="D324" s="173"/>
      <c r="E324" s="173"/>
      <c r="F324" s="173"/>
      <c r="G324" s="173"/>
      <c r="H324" s="173"/>
      <c r="I324" s="173"/>
      <c r="J324" s="173"/>
      <c r="K324" s="173"/>
      <c r="L324" s="173"/>
      <c r="M324" s="173"/>
      <c r="N324" s="173"/>
      <c r="O324" s="173"/>
      <c r="P324" s="173"/>
      <c r="Q324" s="173"/>
      <c r="R324" s="173"/>
      <c r="S324" s="173"/>
      <c r="T324" s="173"/>
      <c r="U324" s="173"/>
      <c r="V324" s="173"/>
      <c r="W324" s="173"/>
      <c r="X324" s="173"/>
      <c r="Y324" s="173"/>
      <c r="Z324" s="457"/>
      <c r="AA324" s="457"/>
      <c r="AB324" s="457"/>
      <c r="AC324" s="457"/>
      <c r="AD324" s="457"/>
      <c r="AE324" s="457"/>
      <c r="AF324" s="457"/>
      <c r="AG324" s="457"/>
      <c r="AH324" s="457"/>
      <c r="AI324" s="457"/>
      <c r="AJ324" s="457"/>
      <c r="AK324" s="464" t="s">
        <v>748</v>
      </c>
      <c r="AL324" s="465"/>
      <c r="AM324" s="466">
        <f t="shared" si="61"/>
        <v>1</v>
      </c>
      <c r="AN324" s="173" t="str">
        <f>IF(AM324=0,"The target will obey commands which do not overly conflict with its nature.","")</f>
        <v/>
      </c>
      <c r="AO324" s="457"/>
      <c r="AP324" s="173"/>
      <c r="AQ324" s="173"/>
      <c r="AR324" s="217"/>
      <c r="AS324" s="218"/>
    </row>
    <row r="325">
      <c r="A325" s="218"/>
      <c r="B325" s="173"/>
      <c r="C325" s="173"/>
      <c r="D325" s="173"/>
      <c r="E325" s="173"/>
      <c r="F325" s="173"/>
      <c r="G325" s="173"/>
      <c r="H325" s="173"/>
      <c r="I325" s="173"/>
      <c r="J325" s="173"/>
      <c r="K325" s="173"/>
      <c r="L325" s="173"/>
      <c r="M325" s="173"/>
      <c r="N325" s="173"/>
      <c r="O325" s="173"/>
      <c r="P325" s="173"/>
      <c r="Q325" s="173"/>
      <c r="R325" s="173"/>
      <c r="S325" s="173"/>
      <c r="T325" s="173"/>
      <c r="U325" s="173"/>
      <c r="V325" s="173"/>
      <c r="W325" s="173"/>
      <c r="X325" s="173"/>
      <c r="Y325" s="173"/>
      <c r="Z325" s="457"/>
      <c r="AA325" s="457"/>
      <c r="AB325" s="457"/>
      <c r="AC325" s="457"/>
      <c r="AD325" s="457"/>
      <c r="AE325" s="457"/>
      <c r="AF325" s="457"/>
      <c r="AG325" s="457"/>
      <c r="AH325" s="457"/>
      <c r="AI325" s="457"/>
      <c r="AJ325" s="457"/>
      <c r="AK325" s="464" t="s">
        <v>749</v>
      </c>
      <c r="AL325" s="465"/>
      <c r="AM325" s="466">
        <f t="shared" si="61"/>
        <v>1</v>
      </c>
      <c r="AN325" s="173" t="str">
        <f>IF(AM325=0,"The target loses 1 HEALTH at the start of each turn.","")</f>
        <v/>
      </c>
      <c r="AO325" s="457"/>
      <c r="AP325" s="173"/>
      <c r="AQ325" s="173"/>
      <c r="AR325" s="217"/>
      <c r="AS325" s="218"/>
    </row>
    <row r="326">
      <c r="A326" s="218"/>
      <c r="B326" s="173"/>
      <c r="C326" s="173"/>
      <c r="D326" s="173"/>
      <c r="E326" s="173"/>
      <c r="F326" s="173"/>
      <c r="G326" s="173"/>
      <c r="H326" s="173"/>
      <c r="I326" s="173"/>
      <c r="J326" s="173"/>
      <c r="K326" s="173"/>
      <c r="L326" s="173"/>
      <c r="M326" s="173"/>
      <c r="N326" s="173"/>
      <c r="O326" s="173"/>
      <c r="P326" s="173"/>
      <c r="Q326" s="173"/>
      <c r="R326" s="173"/>
      <c r="S326" s="173"/>
      <c r="T326" s="173"/>
      <c r="U326" s="173"/>
      <c r="V326" s="173"/>
      <c r="W326" s="173"/>
      <c r="X326" s="173"/>
      <c r="Y326" s="173"/>
      <c r="Z326" s="457"/>
      <c r="AA326" s="457"/>
      <c r="AB326" s="457"/>
      <c r="AC326" s="457"/>
      <c r="AD326" s="457"/>
      <c r="AE326" s="457"/>
      <c r="AF326" s="457"/>
      <c r="AG326" s="457"/>
      <c r="AH326" s="457"/>
      <c r="AI326" s="457"/>
      <c r="AJ326" s="457"/>
      <c r="AK326" s="464" t="s">
        <v>750</v>
      </c>
      <c r="AL326" s="465"/>
      <c r="AM326" s="466">
        <f t="shared" si="61"/>
        <v>1</v>
      </c>
      <c r="AN326" s="173" t="str">
        <f>IF(AM326=0,"The target becomes attracted to or in awe of the source of the enchantment and will permit no harm to come to them.","")</f>
        <v/>
      </c>
      <c r="AO326" s="457"/>
      <c r="AP326" s="173"/>
      <c r="AQ326" s="173"/>
      <c r="AR326" s="217"/>
      <c r="AS326" s="218"/>
    </row>
    <row r="327">
      <c r="A327" s="218"/>
      <c r="B327" s="173"/>
      <c r="C327" s="173"/>
      <c r="D327" s="173"/>
      <c r="E327" s="173"/>
      <c r="F327" s="173"/>
      <c r="G327" s="173"/>
      <c r="H327" s="173"/>
      <c r="I327" s="173"/>
      <c r="J327" s="173"/>
      <c r="K327" s="173"/>
      <c r="L327" s="173"/>
      <c r="M327" s="173"/>
      <c r="N327" s="173"/>
      <c r="O327" s="173"/>
      <c r="P327" s="173"/>
      <c r="Q327" s="173"/>
      <c r="R327" s="173"/>
      <c r="S327" s="173"/>
      <c r="T327" s="173"/>
      <c r="U327" s="173"/>
      <c r="V327" s="173"/>
      <c r="W327" s="173"/>
      <c r="X327" s="173"/>
      <c r="Y327" s="173"/>
      <c r="Z327" s="173"/>
      <c r="AA327" s="173"/>
      <c r="AB327" s="173"/>
      <c r="AC327" s="173"/>
      <c r="AD327" s="457"/>
      <c r="AE327" s="457"/>
      <c r="AF327" s="457"/>
      <c r="AG327" s="457"/>
      <c r="AH327" s="457"/>
      <c r="AI327" s="457"/>
      <c r="AJ327" s="457"/>
      <c r="AK327" s="464" t="s">
        <v>751</v>
      </c>
      <c r="AL327" s="465"/>
      <c r="AM327" s="466">
        <f t="shared" si="61"/>
        <v>1</v>
      </c>
      <c r="AN327" s="173" t="str">
        <f>IF(AM327=0,"The target cannot initiate any hostile actions.","")</f>
        <v/>
      </c>
      <c r="AO327" s="457"/>
      <c r="AP327" s="173"/>
      <c r="AQ327" s="173"/>
      <c r="AR327" s="217"/>
      <c r="AS327" s="218"/>
    </row>
    <row r="328">
      <c r="A328" s="447"/>
      <c r="B328" s="417"/>
      <c r="C328" s="417"/>
      <c r="D328" s="417"/>
      <c r="E328" s="417"/>
      <c r="F328" s="417"/>
      <c r="G328" s="417"/>
      <c r="H328" s="174"/>
      <c r="I328" s="174"/>
      <c r="J328" s="174"/>
      <c r="K328" s="174"/>
      <c r="L328" s="174"/>
      <c r="M328" s="174"/>
      <c r="N328" s="173"/>
      <c r="O328" s="173"/>
      <c r="P328" s="173"/>
      <c r="Q328" s="173"/>
      <c r="R328" s="173"/>
      <c r="S328" s="173"/>
      <c r="T328" s="173"/>
      <c r="U328" s="173"/>
      <c r="V328" s="173"/>
      <c r="W328" s="173"/>
      <c r="X328" s="173"/>
      <c r="Y328" s="173"/>
      <c r="Z328" s="173"/>
      <c r="AA328" s="173"/>
      <c r="AB328" s="173"/>
      <c r="AC328" s="173"/>
      <c r="AD328" s="457"/>
      <c r="AE328" s="457"/>
      <c r="AF328" s="457"/>
      <c r="AG328" s="457"/>
      <c r="AH328" s="457"/>
      <c r="AI328" s="457"/>
      <c r="AJ328" s="457"/>
      <c r="AK328" s="464" t="s">
        <v>423</v>
      </c>
      <c r="AL328" s="465"/>
      <c r="AM328" s="466">
        <f t="shared" si="61"/>
        <v>1</v>
      </c>
      <c r="AN328" s="173" t="str">
        <f>IF(AM328=0,"The target is unable to distinguish ally from foe.","")</f>
        <v/>
      </c>
      <c r="AO328" s="457"/>
      <c r="AP328" s="173"/>
      <c r="AQ328" s="173"/>
      <c r="AR328" s="217"/>
      <c r="AS328" s="218"/>
    </row>
    <row r="329">
      <c r="A329" s="447"/>
      <c r="B329" s="417"/>
      <c r="C329" s="475" t="str">
        <f>IF(ISTEXT('Armour &amp; Shields'!U25),'Armour &amp; Shields'!U25,IF(P3="Felan","Claws","Unarmed"))</f>
        <v>Unarmed</v>
      </c>
      <c r="D329" s="471" t="str">
        <f>CONCATENATE(B29,"d6")</f>
        <v>2d6</v>
      </c>
      <c r="E329" s="471" t="str">
        <f>CONCATENATE(AE39+G136+'Armour &amp; Shields'!U30,"d6","+",AE33+O304+'Armour &amp; Shields'!U33)</f>
        <v>0d6+2</v>
      </c>
      <c r="F329" s="470">
        <f>(IF(VLOOKUP(P3,'Race Modification'!C2:BP55,43,FALSE)="",1+'Armour &amp; Shields'!U36,VLOOKUP(P3,'Race Modification'!C2:BP55,43,FALSE)+'Armour &amp; Shields'!U36))</f>
        <v>1</v>
      </c>
      <c r="G329" s="476" t="str">
        <f>IF(ISTEXT('Armour &amp; Shields'!U27),'Armour &amp; Shields'!U27,IF(VLOOKUP(P3,'Race Modification'!C2:BP55,42,FALSE)="-","Unarmed",VLOOKUP(P3,'Race Modification'!C2:BP55,42,FALSE)))</f>
        <v>Unarmed</v>
      </c>
      <c r="H329" s="174" t="str">
        <f t="shared" ref="H329:H336" si="62">MID(D329,1,1)</f>
        <v>2</v>
      </c>
      <c r="I329" s="174"/>
      <c r="J329" s="174"/>
      <c r="K329" s="174"/>
      <c r="L329" s="174"/>
      <c r="M329" s="174"/>
      <c r="N329" s="173"/>
      <c r="O329" s="173"/>
      <c r="P329" s="173"/>
      <c r="Q329" s="173"/>
      <c r="R329" s="173"/>
      <c r="S329" s="173"/>
      <c r="T329" s="173"/>
      <c r="U329" s="173"/>
      <c r="V329" s="173"/>
      <c r="W329" s="173"/>
      <c r="X329" s="173"/>
      <c r="Y329" s="173"/>
      <c r="Z329" s="173"/>
      <c r="AA329" s="173"/>
      <c r="AB329" s="173"/>
      <c r="AC329" s="173"/>
      <c r="AD329" s="173"/>
      <c r="AE329" s="173"/>
      <c r="AF329" s="173"/>
      <c r="AG329" s="173"/>
      <c r="AH329" s="173"/>
      <c r="AI329" s="173"/>
      <c r="AJ329" s="173"/>
      <c r="AK329" s="464" t="s">
        <v>752</v>
      </c>
      <c r="AL329" s="465"/>
      <c r="AM329" s="466">
        <f t="shared" si="61"/>
        <v>1</v>
      </c>
      <c r="AN329" s="173" t="str">
        <f>IF(AM329=0,"The target gains +1d6 to attacks made while not in cover.","")</f>
        <v/>
      </c>
      <c r="AO329" s="173"/>
      <c r="AP329" s="173"/>
      <c r="AQ329" s="173"/>
      <c r="AR329" s="217"/>
      <c r="AS329" s="218"/>
    </row>
    <row r="330">
      <c r="A330" s="447"/>
      <c r="B330" s="417"/>
      <c r="C330" s="477" t="str">
        <f>IF(VLOOKUP(I292,C230:M268,1,FALSE)="Nothing","",(IF(ISNA(VLOOKUP(I292,C230:M268,1,FALSE)),"",VLOOKUP(I292,C230:M268,1,FALSE))))</f>
        <v/>
      </c>
      <c r="D330" s="190" t="str">
        <f>IF(C330="","",CONCATENATE(AH82,"d6"))</f>
        <v/>
      </c>
      <c r="E330" s="471" t="str">
        <f>IF(O292="","",IF(ISNA(CONCATENATE(AM74,"+",AL74+IF(U292="Melee",MAX(VLOOKUP(N292,AO79:AQ104,3,FALSE),AE33),VLOOKUP(N292,AO79:AQ104,3,FALSE)))),O292,CONCATENATE(AM74,"+",AL74+IF(U292="Melee",MAX(VLOOKUP(N292,AO79:AQ104,3,FALSE),AE33),VLOOKUP(N292,AO79:AQ104,3,FALSE)))))</f>
        <v/>
      </c>
      <c r="F330" s="471" t="str">
        <f>Q292</f>
        <v/>
      </c>
      <c r="G330" s="476" t="str">
        <f>P292</f>
        <v/>
      </c>
      <c r="H330" s="174" t="str">
        <f t="shared" si="62"/>
        <v/>
      </c>
      <c r="I330" s="174"/>
      <c r="J330" s="174"/>
      <c r="K330" s="174"/>
      <c r="L330" s="174"/>
      <c r="M330" s="174"/>
      <c r="N330" s="173"/>
      <c r="O330" s="173"/>
      <c r="P330" s="173"/>
      <c r="Q330" s="173"/>
      <c r="R330" s="173"/>
      <c r="S330" s="173"/>
      <c r="T330" s="173"/>
      <c r="U330" s="173"/>
      <c r="V330" s="173"/>
      <c r="W330" s="173"/>
      <c r="X330" s="173"/>
      <c r="Y330" s="173"/>
      <c r="Z330" s="173"/>
      <c r="AA330" s="173"/>
      <c r="AB330" s="173"/>
      <c r="AC330" s="173"/>
      <c r="AD330" s="173"/>
      <c r="AE330" s="173"/>
      <c r="AF330" s="173"/>
      <c r="AG330" s="173"/>
      <c r="AH330" s="173"/>
      <c r="AI330" s="173"/>
      <c r="AJ330" s="173"/>
      <c r="AK330" s="464" t="s">
        <v>753</v>
      </c>
      <c r="AL330" s="465"/>
      <c r="AM330" s="466">
        <f t="shared" si="61"/>
        <v>1</v>
      </c>
      <c r="AN330" s="173" t="str">
        <f>IF(AM330=0,"The target is asleep, and will not awaken unless it takes damage.","")</f>
        <v/>
      </c>
      <c r="AO330" s="173"/>
      <c r="AP330" s="173"/>
      <c r="AQ330" s="173"/>
      <c r="AR330" s="217"/>
      <c r="AS330" s="218"/>
    </row>
    <row r="331">
      <c r="A331" s="447"/>
      <c r="B331" s="417"/>
      <c r="C331" s="477" t="str">
        <f>IF(VLOOKUP(I294,C230:M268,1,FALSE)="Nothing","",(IF(ISNA(VLOOKUP(I294,C230:M268,1,FALSE)),"",VLOOKUP(I294,C230:M268,1,FALSE))))</f>
        <v/>
      </c>
      <c r="D331" s="471" t="str">
        <f>IF(C331="","",CONCATENATE(AH84,"d6"))</f>
        <v/>
      </c>
      <c r="E331" s="471" t="str">
        <f>IF(O294="","",IF(ISNA(CONCATENATE(AM75,"+",AL75+IF(U294="Melee",MAX(VLOOKUP(N294,AO79:AQ104,3,FALSE),AE33),VLOOKUP(N294,AO79:AQ104,3,FALSE)))),O294,CONCATENATE(AM75,"+",AL75+IF(U294="Melee",MAX(VLOOKUP(N294,AO79:AQ104,3,FALSE),AE33),VLOOKUP(N294,AO79:AQ104,3,FALSE)))))</f>
        <v/>
      </c>
      <c r="F331" s="470" t="str">
        <f>Q294</f>
        <v/>
      </c>
      <c r="G331" s="476" t="str">
        <f>P294</f>
        <v/>
      </c>
      <c r="H331" s="174" t="str">
        <f t="shared" si="62"/>
        <v/>
      </c>
      <c r="I331" s="174"/>
      <c r="J331" s="174"/>
      <c r="K331" s="174"/>
      <c r="L331" s="174"/>
      <c r="M331" s="174"/>
      <c r="N331" s="173"/>
      <c r="O331" s="173"/>
      <c r="P331" s="173"/>
      <c r="Q331" s="173"/>
      <c r="R331" s="173"/>
      <c r="S331" s="173"/>
      <c r="T331" s="173"/>
      <c r="U331" s="173"/>
      <c r="V331" s="173"/>
      <c r="W331" s="173"/>
      <c r="X331" s="173"/>
      <c r="Y331" s="173"/>
      <c r="Z331" s="173"/>
      <c r="AA331" s="173"/>
      <c r="AB331" s="173"/>
      <c r="AC331" s="173"/>
      <c r="AD331" s="173"/>
      <c r="AE331" s="173"/>
      <c r="AF331" s="173"/>
      <c r="AG331" s="173"/>
      <c r="AH331" s="173"/>
      <c r="AI331" s="173"/>
      <c r="AJ331" s="173"/>
      <c r="AK331" s="464" t="s">
        <v>754</v>
      </c>
      <c r="AL331" s="465"/>
      <c r="AM331" s="466">
        <f t="shared" si="61"/>
        <v>1</v>
      </c>
      <c r="AN331" s="173" t="str">
        <f>IF(AM331=0,"The target must move away from the source of the fear with at least one action per round; it cannot approach.","")</f>
        <v/>
      </c>
      <c r="AO331" s="173"/>
      <c r="AP331" s="173"/>
      <c r="AQ331" s="173"/>
      <c r="AR331" s="217"/>
      <c r="AS331" s="218"/>
    </row>
    <row r="332">
      <c r="A332" s="447"/>
      <c r="B332" s="417"/>
      <c r="C332" s="477" t="str">
        <f>IF(VLOOKUP(I296,C230:M268,1,FALSE)="Nothing","",(IF(ISNA(VLOOKUP(I296,C230:M268,1,FALSE)),"",VLOOKUP(I296,C230:M268,1,FALSE))))</f>
        <v/>
      </c>
      <c r="D332" s="190" t="str">
        <f>IF(C332="","",CONCATENATE(AJ84,"d6"))</f>
        <v/>
      </c>
      <c r="E332" s="190" t="str">
        <f>IF(O296="","",IF(ISNA(CONCATENATE(AM72,"+",AL72+IF(U296="Melee",MAX(VLOOKUP(N296,AO79:AQ104,3,FALSE),AE33),VLOOKUP(N296,AO79:AQ104,3,FALSE)))),O296,CONCATENATE(AM72,"+",AL72+IF(U296="Melee",MAX(VLOOKUP(N296,AO79:AQ104,3,FALSE),AE33),VLOOKUP(N296,AO79:AQ104,3,FALSE)))))</f>
        <v/>
      </c>
      <c r="F332" s="190" t="str">
        <f>Q296</f>
        <v/>
      </c>
      <c r="G332" s="190" t="str">
        <f>P296</f>
        <v/>
      </c>
      <c r="H332" s="174" t="str">
        <f t="shared" si="62"/>
        <v/>
      </c>
      <c r="I332" s="174"/>
      <c r="J332" s="174"/>
      <c r="K332" s="174"/>
      <c r="L332" s="174"/>
      <c r="M332" s="174"/>
      <c r="N332" s="173"/>
      <c r="O332" s="173"/>
      <c r="P332" s="173"/>
      <c r="Q332" s="173"/>
      <c r="R332" s="173"/>
      <c r="S332" s="173"/>
      <c r="T332" s="173"/>
      <c r="U332" s="173"/>
      <c r="V332" s="173"/>
      <c r="W332" s="173"/>
      <c r="X332" s="173"/>
      <c r="Y332" s="173"/>
      <c r="Z332" s="173"/>
      <c r="AA332" s="173"/>
      <c r="AB332" s="173"/>
      <c r="AC332" s="173"/>
      <c r="AD332" s="173"/>
      <c r="AE332" s="173"/>
      <c r="AF332" s="173"/>
      <c r="AG332" s="173"/>
      <c r="AH332" s="173"/>
      <c r="AI332" s="173"/>
      <c r="AJ332" s="173"/>
      <c r="AK332" s="464" t="s">
        <v>755</v>
      </c>
      <c r="AL332" s="465"/>
      <c r="AM332" s="466">
        <f t="shared" si="61"/>
        <v>1</v>
      </c>
      <c r="AN332" s="173" t="str">
        <f>IF(AM332=0,"The target suffers 1 heat damage per round (1d6 if wearing metal armor). Clothing and hair are ruined.","")</f>
        <v/>
      </c>
      <c r="AO332" s="173"/>
      <c r="AP332" s="173"/>
      <c r="AQ332" s="173"/>
      <c r="AR332" s="217"/>
      <c r="AS332" s="218"/>
    </row>
    <row r="333">
      <c r="A333" s="447"/>
      <c r="B333" s="417"/>
      <c r="C333" s="477" t="str">
        <f>IF(VLOOKUP(I298,C185:N199,1,FALSE)="Nothing","",(IF(ISNA(VLOOKUP(I298,C185:N199,1,FALSE)),"",VLOOKUP(I298,C185:N199,1,FALSE))))</f>
        <v/>
      </c>
      <c r="D333" s="190" t="str">
        <f>IF(C333="","",CONCATENATE(AG80,"d6"))</f>
        <v/>
      </c>
      <c r="E333" s="433" t="str">
        <f>IF(O298="","",IF(ISNA(CONCATENATE(AM76,"+",AL76+IF(OR(R298="Blunt",R298="Spiked"),MAX(VLOOKUP(N298,AO79:AQ104,3,FALSE),AE33),VLOOKUP(N298,AO79:AQ104,3,FALSE)))),O298,CONCATENATE(AM76,"+",AL76+IF(OR(R298="Blunt",R298="Spiked"),MAX(VLOOKUP(N298,AO79:AQ104,3,FALSE),AE33),VLOOKUP(N298,AO79:AQ104,3,FALSE)))))</f>
        <v/>
      </c>
      <c r="F333" s="190" t="str">
        <f>IF(C333="","",1)</f>
        <v/>
      </c>
      <c r="G333" s="476" t="str">
        <f>R298</f>
        <v/>
      </c>
      <c r="H333" s="174" t="str">
        <f t="shared" si="62"/>
        <v/>
      </c>
      <c r="I333" s="174"/>
      <c r="J333" s="174"/>
      <c r="K333" s="174"/>
      <c r="L333" s="174"/>
      <c r="M333" s="174"/>
      <c r="N333" s="173"/>
      <c r="O333" s="173"/>
      <c r="P333" s="173"/>
      <c r="Q333" s="173"/>
      <c r="R333" s="173"/>
      <c r="S333" s="173"/>
      <c r="T333" s="173"/>
      <c r="U333" s="173"/>
      <c r="V333" s="173"/>
      <c r="W333" s="173"/>
      <c r="X333" s="173"/>
      <c r="Y333" s="173"/>
      <c r="Z333" s="173"/>
      <c r="AA333" s="173"/>
      <c r="AB333" s="173"/>
      <c r="AC333" s="173"/>
      <c r="AD333" s="173"/>
      <c r="AE333" s="173"/>
      <c r="AF333" s="173"/>
      <c r="AG333" s="173"/>
      <c r="AH333" s="173"/>
      <c r="AI333" s="173"/>
      <c r="AJ333" s="173"/>
      <c r="AK333" s="464" t="s">
        <v>756</v>
      </c>
      <c r="AL333" s="465"/>
      <c r="AM333" s="466">
        <f t="shared" si="61"/>
        <v>1</v>
      </c>
      <c r="AN333" s="173" t="str">
        <f>IF(AM333=0,"The target cannot hear speech more than 10’ away.","")</f>
        <v/>
      </c>
      <c r="AO333" s="173"/>
      <c r="AP333" s="173"/>
      <c r="AQ333" s="173"/>
      <c r="AR333" s="217"/>
      <c r="AS333" s="218"/>
    </row>
    <row r="334">
      <c r="A334" s="447"/>
      <c r="B334" s="417"/>
      <c r="C334" s="477" t="str">
        <f>C105</f>
        <v/>
      </c>
      <c r="D334" s="190" t="str">
        <f>IF(C334="","",CONCATENATE(AG74,"d6"))</f>
        <v/>
      </c>
      <c r="E334" s="190" t="str">
        <f>IF(F105="","",IF(ISNA(CONCATENATE(AM77,"+",AL77+VLOOKUP(E105,AO79:AQ104,3,FALSE))),F105,CONCATENATE(AM77,"+",AL77+VLOOKUP(E105,AO79:AQ104,3,FALSE))))</f>
        <v/>
      </c>
      <c r="F334" s="433" t="str">
        <f>H105</f>
        <v/>
      </c>
      <c r="G334" s="476" t="str">
        <f>J105</f>
        <v/>
      </c>
      <c r="H334" s="174" t="str">
        <f t="shared" si="62"/>
        <v/>
      </c>
      <c r="I334" s="174"/>
      <c r="J334" s="174"/>
      <c r="K334" s="174"/>
      <c r="L334" s="174"/>
      <c r="M334" s="174"/>
      <c r="N334" s="173"/>
      <c r="O334" s="173"/>
      <c r="P334" s="173"/>
      <c r="Q334" s="173"/>
      <c r="R334" s="173"/>
      <c r="S334" s="173"/>
      <c r="T334" s="173"/>
      <c r="U334" s="173"/>
      <c r="V334" s="173"/>
      <c r="W334" s="173"/>
      <c r="X334" s="173"/>
      <c r="Y334" s="173"/>
      <c r="Z334" s="173"/>
      <c r="AA334" s="173"/>
      <c r="AB334" s="173"/>
      <c r="AC334" s="173"/>
      <c r="AD334" s="173"/>
      <c r="AE334" s="173"/>
      <c r="AF334" s="173"/>
      <c r="AG334" s="173"/>
      <c r="AH334" s="173"/>
      <c r="AI334" s="173"/>
      <c r="AJ334" s="173"/>
      <c r="AK334" s="464" t="s">
        <v>757</v>
      </c>
      <c r="AL334" s="465"/>
      <c r="AM334" s="466">
        <f t="shared" si="61"/>
        <v>1</v>
      </c>
      <c r="AN334" s="173" t="str">
        <f>IF(AM334=0,"The target moves at half SPEED.","")</f>
        <v/>
      </c>
      <c r="AO334" s="173"/>
      <c r="AP334" s="173"/>
      <c r="AQ334" s="173"/>
      <c r="AR334" s="217"/>
      <c r="AS334" s="218"/>
    </row>
    <row r="335">
      <c r="A335" s="447"/>
      <c r="B335" s="417"/>
      <c r="C335" s="477" t="str">
        <f>C107</f>
        <v/>
      </c>
      <c r="D335" s="190" t="str">
        <f>IF(C335="","",CONCATENATE(AG76,"d6"))</f>
        <v/>
      </c>
      <c r="E335" s="190" t="str">
        <f>IF(F107="","",IF(ISNA(CONCATENATE(AM78,"+",AL78+VLOOKUP(E107,AO79:AQ104,3,FALSE))),F107,CONCATENATE(AM78,"+",AL78+VLOOKUP(E107,AO79:AQ104,3,FALSE))))</f>
        <v/>
      </c>
      <c r="F335" s="190" t="str">
        <f>H107</f>
        <v/>
      </c>
      <c r="G335" s="476" t="str">
        <f>J107</f>
        <v/>
      </c>
      <c r="H335" s="174" t="str">
        <f t="shared" si="62"/>
        <v/>
      </c>
      <c r="I335" s="174"/>
      <c r="J335" s="174"/>
      <c r="K335" s="174"/>
      <c r="L335" s="174"/>
      <c r="M335" s="174"/>
      <c r="N335" s="173"/>
      <c r="O335" s="173"/>
      <c r="P335" s="173"/>
      <c r="Q335" s="173"/>
      <c r="R335" s="173"/>
      <c r="S335" s="173"/>
      <c r="T335" s="173"/>
      <c r="U335" s="173"/>
      <c r="V335" s="173"/>
      <c r="W335" s="173"/>
      <c r="X335" s="173"/>
      <c r="Y335" s="173"/>
      <c r="Z335" s="173"/>
      <c r="AA335" s="173"/>
      <c r="AB335" s="173"/>
      <c r="AC335" s="173"/>
      <c r="AD335" s="173"/>
      <c r="AE335" s="173"/>
      <c r="AF335" s="173"/>
      <c r="AG335" s="173"/>
      <c r="AH335" s="173"/>
      <c r="AI335" s="173"/>
      <c r="AJ335" s="173"/>
      <c r="AK335" s="464" t="s">
        <v>375</v>
      </c>
      <c r="AL335" s="465"/>
      <c r="AM335" s="466">
        <f t="shared" si="61"/>
        <v>1</v>
      </c>
      <c r="AN335" s="173" t="str">
        <f>IF(AM335=0,"The target struggles to recall things, and cannot cast spells or psionics.","")</f>
        <v/>
      </c>
      <c r="AO335" s="173"/>
      <c r="AP335" s="173"/>
      <c r="AQ335" s="173"/>
      <c r="AR335" s="217"/>
      <c r="AS335" s="218"/>
    </row>
    <row r="336">
      <c r="A336" s="447"/>
      <c r="B336" s="417"/>
      <c r="C336" s="477" t="str">
        <f>IF(OR(C92="Static Dynamo",C94="Static Dynamo",C96="Static Dynamo",C98="Static Dynamo",C100="Static Dynamo",C102="Static Dynamo"),"Static Dynamo","")</f>
        <v/>
      </c>
      <c r="D336" s="190" t="str">
        <f>IF(C336="Static Dynamo","Reaction","")</f>
        <v/>
      </c>
      <c r="E336" s="190" t="str">
        <f>IF(C336="Static Dynamo",C6,"")</f>
        <v/>
      </c>
      <c r="F336" s="433" t="str">
        <f>IF(C336="Static Dynamo",1,"")</f>
        <v/>
      </c>
      <c r="G336" s="478" t="str">
        <f>IF(C336="Static Dynamo","Force","")</f>
        <v/>
      </c>
      <c r="H336" s="174" t="str">
        <f t="shared" si="62"/>
        <v/>
      </c>
      <c r="I336" s="174"/>
      <c r="J336" s="174"/>
      <c r="K336" s="174"/>
      <c r="L336" s="174"/>
      <c r="M336" s="174"/>
      <c r="N336" s="173"/>
      <c r="O336" s="173"/>
      <c r="P336" s="173"/>
      <c r="Q336" s="173"/>
      <c r="R336" s="173"/>
      <c r="S336" s="173"/>
      <c r="T336" s="173"/>
      <c r="U336" s="173"/>
      <c r="V336" s="173"/>
      <c r="W336" s="173"/>
      <c r="X336" s="173"/>
      <c r="Y336" s="173"/>
      <c r="Z336" s="173"/>
      <c r="AA336" s="173"/>
      <c r="AB336" s="173"/>
      <c r="AC336" s="173"/>
      <c r="AD336" s="173"/>
      <c r="AE336" s="173"/>
      <c r="AF336" s="173"/>
      <c r="AG336" s="173"/>
      <c r="AH336" s="173"/>
      <c r="AI336" s="173"/>
      <c r="AJ336" s="173"/>
      <c r="AK336" s="464" t="s">
        <v>758</v>
      </c>
      <c r="AL336" s="465"/>
      <c r="AM336" s="466">
        <f t="shared" si="61"/>
        <v>1</v>
      </c>
      <c r="AN336" s="173" t="str">
        <f>IF(AM336=0,"The target cannot leave its current location, but can otherwise act normally.","")</f>
        <v/>
      </c>
      <c r="AO336" s="173"/>
      <c r="AP336" s="173"/>
      <c r="AQ336" s="173"/>
      <c r="AR336" s="217"/>
      <c r="AS336" s="218"/>
    </row>
    <row r="337">
      <c r="A337" s="285"/>
      <c r="B337" s="174"/>
      <c r="C337" s="174"/>
      <c r="D337" s="174"/>
      <c r="E337" s="174"/>
      <c r="F337" s="174"/>
      <c r="G337" s="174"/>
      <c r="H337" s="174"/>
      <c r="I337" s="174"/>
      <c r="J337" s="174"/>
      <c r="K337" s="174"/>
      <c r="L337" s="174"/>
      <c r="M337" s="174"/>
      <c r="N337" s="173"/>
      <c r="O337" s="173"/>
      <c r="P337" s="173"/>
      <c r="Q337" s="173"/>
      <c r="R337" s="173"/>
      <c r="S337" s="173"/>
      <c r="T337" s="173"/>
      <c r="U337" s="173"/>
      <c r="V337" s="173"/>
      <c r="W337" s="173"/>
      <c r="X337" s="173"/>
      <c r="Y337" s="173"/>
      <c r="Z337" s="173"/>
      <c r="AA337" s="173"/>
      <c r="AB337" s="173"/>
      <c r="AC337" s="173"/>
      <c r="AD337" s="173"/>
      <c r="AE337" s="173"/>
      <c r="AF337" s="173"/>
      <c r="AG337" s="173"/>
      <c r="AH337" s="173"/>
      <c r="AI337" s="173"/>
      <c r="AJ337" s="173"/>
      <c r="AK337" s="464" t="s">
        <v>759</v>
      </c>
      <c r="AL337" s="465"/>
      <c r="AM337" s="466">
        <f t="shared" si="61"/>
        <v>1</v>
      </c>
      <c r="AN337" s="173" t="str">
        <f>IF(AM337=0,"The target cannot see more than 10’, and suffers a -4 DEFENSE penalty.","")</f>
        <v/>
      </c>
      <c r="AO337" s="173"/>
      <c r="AP337" s="173"/>
      <c r="AQ337" s="173"/>
      <c r="AR337" s="217"/>
      <c r="AS337" s="218"/>
    </row>
    <row r="338">
      <c r="A338" s="285"/>
      <c r="B338" s="174"/>
      <c r="C338" s="174" t="str">
        <f>CONCATENATE(C329," ",D329," ","(",E329," ",G329," damage; range ",F329,")")</f>
        <v>Unarmed 2d6 (0d6+2 Unarmed damage; range 1)</v>
      </c>
      <c r="D338" s="174"/>
      <c r="E338" s="174" t="str">
        <f t="shared" ref="E338:E345" si="63">IF(C329="","",C338)</f>
        <v>Unarmed 2d6 (0d6+2 Unarmed damage; range 1)</v>
      </c>
      <c r="F338" s="174"/>
      <c r="G338" s="174"/>
      <c r="H338" s="174"/>
      <c r="I338" s="174"/>
      <c r="J338" s="174"/>
      <c r="K338" s="174"/>
      <c r="L338" s="174"/>
      <c r="M338" s="174"/>
      <c r="N338" s="173"/>
      <c r="O338" s="173"/>
      <c r="P338" s="173"/>
      <c r="Q338" s="173"/>
      <c r="R338" s="173"/>
      <c r="S338" s="173"/>
      <c r="T338" s="173"/>
      <c r="U338" s="173"/>
      <c r="V338" s="173"/>
      <c r="W338" s="173"/>
      <c r="X338" s="173"/>
      <c r="Y338" s="173"/>
      <c r="Z338" s="173"/>
      <c r="AA338" s="173"/>
      <c r="AB338" s="173"/>
      <c r="AC338" s="173"/>
      <c r="AD338" s="173"/>
      <c r="AE338" s="173"/>
      <c r="AF338" s="173"/>
      <c r="AG338" s="173"/>
      <c r="AH338" s="173"/>
      <c r="AI338" s="173"/>
      <c r="AJ338" s="173"/>
      <c r="AK338" s="464" t="s">
        <v>760</v>
      </c>
      <c r="AL338" s="465"/>
      <c r="AM338" s="466">
        <f t="shared" si="61"/>
        <v>1</v>
      </c>
      <c r="AN338" s="173" t="str">
        <f>IF(AM338=0,"The target is experiencing severe discomfort. SPEED is halved.","")</f>
        <v/>
      </c>
      <c r="AO338" s="173"/>
      <c r="AP338" s="173"/>
      <c r="AQ338" s="173"/>
      <c r="AR338" s="217"/>
      <c r="AS338" s="218"/>
    </row>
    <row r="339">
      <c r="A339" s="285"/>
      <c r="B339" s="174"/>
      <c r="C339" s="174" t="str">
        <f>CONCATENATE(C330," ",D330," ","(",E330," ",G330," damage; range ",F330,"; ",T292,")")</f>
        <v>  (  damage; range ; )</v>
      </c>
      <c r="D339" s="174"/>
      <c r="E339" s="174" t="str">
        <f t="shared" si="63"/>
        <v/>
      </c>
      <c r="F339" s="174"/>
      <c r="G339" s="174"/>
      <c r="H339" s="174"/>
      <c r="I339" s="174"/>
      <c r="J339" s="174"/>
      <c r="K339" s="174"/>
      <c r="L339" s="174"/>
      <c r="M339" s="174"/>
      <c r="N339" s="173"/>
      <c r="O339" s="173"/>
      <c r="P339" s="173"/>
      <c r="Q339" s="173"/>
      <c r="R339" s="173"/>
      <c r="S339" s="173"/>
      <c r="T339" s="173"/>
      <c r="U339" s="173"/>
      <c r="V339" s="173"/>
      <c r="W339" s="173"/>
      <c r="X339" s="173"/>
      <c r="Y339" s="173"/>
      <c r="Z339" s="173"/>
      <c r="AA339" s="173"/>
      <c r="AB339" s="173"/>
      <c r="AC339" s="173"/>
      <c r="AD339" s="173"/>
      <c r="AE339" s="173"/>
      <c r="AF339" s="173"/>
      <c r="AG339" s="173"/>
      <c r="AH339" s="173"/>
      <c r="AI339" s="173"/>
      <c r="AJ339" s="173"/>
      <c r="AK339" s="464" t="s">
        <v>761</v>
      </c>
      <c r="AL339" s="465"/>
      <c r="AM339" s="466">
        <f t="shared" si="61"/>
        <v>1</v>
      </c>
      <c r="AN339" s="173" t="str">
        <f>IF(AM339=0,"The target is reduced to one action per round; the other action is spent vomiting.","")</f>
        <v/>
      </c>
      <c r="AO339" s="173"/>
      <c r="AP339" s="173"/>
      <c r="AQ339" s="173"/>
      <c r="AR339" s="217"/>
      <c r="AS339" s="218"/>
    </row>
    <row r="340">
      <c r="A340" s="285"/>
      <c r="B340" s="174"/>
      <c r="C340" s="174" t="str">
        <f>CONCATENATE(C331," ",D331," ","(",E331," ",G331," damage; range ",F331,"; ",T294,")")</f>
        <v>  (  damage; range ; )</v>
      </c>
      <c r="D340" s="174"/>
      <c r="E340" s="174" t="str">
        <f t="shared" si="63"/>
        <v/>
      </c>
      <c r="F340" s="174"/>
      <c r="G340" s="174"/>
      <c r="H340" s="174"/>
      <c r="I340" s="174"/>
      <c r="J340" s="174"/>
      <c r="K340" s="174"/>
      <c r="L340" s="174"/>
      <c r="M340" s="174"/>
      <c r="N340" s="173"/>
      <c r="O340" s="173"/>
      <c r="P340" s="173"/>
      <c r="Q340" s="173"/>
      <c r="R340" s="173"/>
      <c r="S340" s="173"/>
      <c r="T340" s="173"/>
      <c r="U340" s="173"/>
      <c r="V340" s="173"/>
      <c r="W340" s="173"/>
      <c r="X340" s="173"/>
      <c r="Y340" s="173"/>
      <c r="Z340" s="173"/>
      <c r="AA340" s="173"/>
      <c r="AB340" s="173"/>
      <c r="AC340" s="173"/>
      <c r="AD340" s="173"/>
      <c r="AE340" s="173"/>
      <c r="AF340" s="173"/>
      <c r="AG340" s="173"/>
      <c r="AH340" s="173"/>
      <c r="AI340" s="173"/>
      <c r="AJ340" s="173"/>
      <c r="AK340" s="464" t="s">
        <v>355</v>
      </c>
      <c r="AL340" s="465"/>
      <c r="AM340" s="466">
        <f t="shared" si="61"/>
        <v>1</v>
      </c>
      <c r="AN340" s="173" t="str">
        <f>IF(AM340=0,"The target has a max HEALTH of half its normal HEALTH.","")</f>
        <v/>
      </c>
      <c r="AO340" s="173"/>
      <c r="AP340" s="173"/>
      <c r="AQ340" s="173"/>
      <c r="AR340" s="217"/>
      <c r="AS340" s="218"/>
    </row>
    <row r="341">
      <c r="A341" s="285"/>
      <c r="B341" s="174"/>
      <c r="C341" s="174" t="str">
        <f>CONCATENATE(C332," ",D332," ","(",E332," ",G332," damage; range ",F332,"; ",T296,")")</f>
        <v>  (  damage; range ; )</v>
      </c>
      <c r="D341" s="174"/>
      <c r="E341" s="174" t="str">
        <f t="shared" si="63"/>
        <v/>
      </c>
      <c r="F341" s="174"/>
      <c r="G341" s="174"/>
      <c r="H341" s="174"/>
      <c r="I341" s="174"/>
      <c r="J341" s="174"/>
      <c r="K341" s="174"/>
      <c r="L341" s="174"/>
      <c r="M341" s="174"/>
      <c r="N341" s="173"/>
      <c r="O341" s="173"/>
      <c r="P341" s="173"/>
      <c r="Q341" s="173"/>
      <c r="R341" s="173"/>
      <c r="S341" s="173"/>
      <c r="T341" s="173"/>
      <c r="U341" s="173"/>
      <c r="V341" s="173"/>
      <c r="W341" s="173"/>
      <c r="X341" s="173"/>
      <c r="Y341" s="173"/>
      <c r="Z341" s="173"/>
      <c r="AA341" s="173"/>
      <c r="AB341" s="173"/>
      <c r="AC341" s="173"/>
      <c r="AD341" s="173"/>
      <c r="AE341" s="173"/>
      <c r="AF341" s="173"/>
      <c r="AG341" s="173"/>
      <c r="AH341" s="173"/>
      <c r="AI341" s="173"/>
      <c r="AJ341" s="173"/>
      <c r="AK341" s="464" t="s">
        <v>762</v>
      </c>
      <c r="AL341" s="465"/>
      <c r="AM341" s="466">
        <f t="shared" ref="AM341:AM359" si="64">IF(NOT(G58="-"),0,1)</f>
        <v>1</v>
      </c>
      <c r="AN341" s="173" t="str">
        <f>IF(AM341=0,"The target can take no actions.","")</f>
        <v/>
      </c>
      <c r="AO341" s="173"/>
      <c r="AP341" s="173"/>
      <c r="AQ341" s="173"/>
      <c r="AR341" s="217"/>
      <c r="AS341" s="218"/>
    </row>
    <row r="342">
      <c r="A342" s="285"/>
      <c r="B342" s="174"/>
      <c r="C342" s="174" t="str">
        <f>CONCATENATE(C333," ",D333," ","(",E333," ",G333," damage; range ",F333,"; ",T298,")")</f>
        <v>  (  damage; range ; )</v>
      </c>
      <c r="D342" s="174"/>
      <c r="E342" s="174" t="str">
        <f t="shared" si="63"/>
        <v/>
      </c>
      <c r="F342" s="174"/>
      <c r="G342" s="174"/>
      <c r="H342" s="174"/>
      <c r="I342" s="174"/>
      <c r="J342" s="174"/>
      <c r="K342" s="174"/>
      <c r="L342" s="174"/>
      <c r="M342" s="174"/>
      <c r="N342" s="173"/>
      <c r="O342" s="173"/>
      <c r="P342" s="173"/>
      <c r="Q342" s="173"/>
      <c r="R342" s="173"/>
      <c r="S342" s="173"/>
      <c r="T342" s="173"/>
      <c r="U342" s="173"/>
      <c r="V342" s="173"/>
      <c r="W342" s="173"/>
      <c r="X342" s="173"/>
      <c r="Y342" s="173"/>
      <c r="Z342" s="173"/>
      <c r="AA342" s="173"/>
      <c r="AB342" s="173"/>
      <c r="AC342" s="173"/>
      <c r="AD342" s="173"/>
      <c r="AE342" s="173"/>
      <c r="AF342" s="173"/>
      <c r="AG342" s="173"/>
      <c r="AH342" s="173"/>
      <c r="AI342" s="173"/>
      <c r="AJ342" s="173"/>
      <c r="AK342" s="464" t="s">
        <v>763</v>
      </c>
      <c r="AL342" s="465"/>
      <c r="AM342" s="466">
        <f t="shared" si="64"/>
        <v>1</v>
      </c>
      <c r="AN342" s="173" t="str">
        <f>IF(AM342=0,"The target can only attack the nearest enemy. If there are no enemies to fight, the character starts attacking allies instead.","")</f>
        <v/>
      </c>
      <c r="AO342" s="173"/>
      <c r="AP342" s="173"/>
      <c r="AQ342" s="173"/>
      <c r="AR342" s="217"/>
      <c r="AS342" s="218"/>
    </row>
    <row r="343">
      <c r="A343" s="285"/>
      <c r="B343" s="174"/>
      <c r="C343" s="174" t="str">
        <f>CONCATENATE(C334," ",D334," ","(",E334," ",G334," damage; range ",F334,"; ",J105,")")</f>
        <v>  (  damage; range ; )</v>
      </c>
      <c r="D343" s="174"/>
      <c r="E343" s="174" t="str">
        <f t="shared" si="63"/>
        <v/>
      </c>
      <c r="F343" s="174"/>
      <c r="G343" s="174"/>
      <c r="H343" s="174"/>
      <c r="I343" s="174"/>
      <c r="J343" s="174"/>
      <c r="K343" s="174"/>
      <c r="L343" s="174"/>
      <c r="M343" s="174"/>
      <c r="N343" s="173"/>
      <c r="O343" s="173"/>
      <c r="P343" s="173"/>
      <c r="Q343" s="173"/>
      <c r="R343" s="173"/>
      <c r="S343" s="173"/>
      <c r="T343" s="173"/>
      <c r="U343" s="173"/>
      <c r="V343" s="173"/>
      <c r="W343" s="173"/>
      <c r="X343" s="173"/>
      <c r="Y343" s="173"/>
      <c r="Z343" s="173"/>
      <c r="AA343" s="173"/>
      <c r="AB343" s="173"/>
      <c r="AC343" s="173"/>
      <c r="AD343" s="173"/>
      <c r="AE343" s="173"/>
      <c r="AF343" s="173"/>
      <c r="AG343" s="173"/>
      <c r="AH343" s="173"/>
      <c r="AI343" s="173"/>
      <c r="AJ343" s="173"/>
      <c r="AK343" s="464" t="s">
        <v>764</v>
      </c>
      <c r="AL343" s="465"/>
      <c r="AM343" s="466">
        <f t="shared" si="64"/>
        <v>1</v>
      </c>
      <c r="AN343" s="173" t="str">
        <f>IF(AM343=0,"The target will follow all commands to the best of its ability.","")</f>
        <v/>
      </c>
      <c r="AO343" s="173"/>
      <c r="AP343" s="173"/>
      <c r="AQ343" s="173"/>
      <c r="AR343" s="217"/>
      <c r="AS343" s="218"/>
    </row>
    <row r="344">
      <c r="A344" s="285"/>
      <c r="B344" s="174"/>
      <c r="C344" s="174" t="str">
        <f>CONCATENATE(C335," ",D335," ","(",E335," ",G335," damage; range ",F335,"; ",J107,")")</f>
        <v>  (  damage; range ; )</v>
      </c>
      <c r="D344" s="174"/>
      <c r="E344" s="174" t="str">
        <f t="shared" si="63"/>
        <v/>
      </c>
      <c r="F344" s="174"/>
      <c r="G344" s="174"/>
      <c r="H344" s="174"/>
      <c r="I344" s="174"/>
      <c r="J344" s="174"/>
      <c r="K344" s="174"/>
      <c r="L344" s="174"/>
      <c r="M344" s="174"/>
      <c r="N344" s="173"/>
      <c r="O344" s="173"/>
      <c r="P344" s="173"/>
      <c r="Q344" s="173"/>
      <c r="R344" s="173"/>
      <c r="S344" s="173"/>
      <c r="T344" s="173"/>
      <c r="U344" s="173"/>
      <c r="V344" s="173"/>
      <c r="W344" s="173"/>
      <c r="X344" s="173"/>
      <c r="Y344" s="173"/>
      <c r="Z344" s="173"/>
      <c r="AA344" s="173"/>
      <c r="AB344" s="173"/>
      <c r="AC344" s="173"/>
      <c r="AD344" s="173"/>
      <c r="AE344" s="173"/>
      <c r="AF344" s="173"/>
      <c r="AG344" s="173"/>
      <c r="AH344" s="173"/>
      <c r="AI344" s="173"/>
      <c r="AJ344" s="173"/>
      <c r="AK344" s="464" t="s">
        <v>765</v>
      </c>
      <c r="AL344" s="465"/>
      <c r="AM344" s="466">
        <f t="shared" si="64"/>
        <v>1</v>
      </c>
      <c r="AN344" s="173" t="str">
        <f>IF(AM344=0,"The target loses 1d6 HEALTH at the start of each turn.","")</f>
        <v/>
      </c>
      <c r="AO344" s="173"/>
      <c r="AP344" s="173"/>
      <c r="AQ344" s="173"/>
      <c r="AR344" s="217"/>
      <c r="AS344" s="218"/>
    </row>
    <row r="345">
      <c r="A345" s="285"/>
      <c r="B345" s="174"/>
      <c r="C345" s="174" t="str">
        <f>CONCATENATE(C336," ",D336," ","(",E336," ",G336," damage; range ",F336," )")</f>
        <v>  (  damage; range  )</v>
      </c>
      <c r="D345" s="174"/>
      <c r="E345" s="174" t="str">
        <f t="shared" si="63"/>
        <v/>
      </c>
      <c r="F345" s="174"/>
      <c r="G345" s="174"/>
      <c r="H345" s="174"/>
      <c r="I345" s="174"/>
      <c r="J345" s="174"/>
      <c r="K345" s="174"/>
      <c r="L345" s="174"/>
      <c r="M345" s="174"/>
      <c r="N345" s="173"/>
      <c r="O345" s="173"/>
      <c r="P345" s="173"/>
      <c r="Q345" s="173"/>
      <c r="R345" s="173"/>
      <c r="S345" s="173"/>
      <c r="T345" s="173"/>
      <c r="U345" s="173"/>
      <c r="V345" s="173"/>
      <c r="W345" s="173"/>
      <c r="X345" s="173"/>
      <c r="Y345" s="173"/>
      <c r="Z345" s="173"/>
      <c r="AA345" s="173"/>
      <c r="AB345" s="173"/>
      <c r="AC345" s="173"/>
      <c r="AD345" s="173"/>
      <c r="AE345" s="173"/>
      <c r="AF345" s="173"/>
      <c r="AG345" s="173"/>
      <c r="AH345" s="173"/>
      <c r="AI345" s="173"/>
      <c r="AJ345" s="173"/>
      <c r="AK345" s="464" t="s">
        <v>766</v>
      </c>
      <c r="AL345" s="465"/>
      <c r="AM345" s="466">
        <f t="shared" si="64"/>
        <v>1</v>
      </c>
      <c r="AN345" s="173" t="str">
        <f>IF(AM345=0,"The target is completely in love with or loyal to the source of the condition beyond all rationality.","")</f>
        <v/>
      </c>
      <c r="AO345" s="173"/>
      <c r="AP345" s="173"/>
      <c r="AQ345" s="173"/>
      <c r="AR345" s="217"/>
      <c r="AS345" s="218"/>
    </row>
    <row r="346">
      <c r="A346" s="285" t="str">
        <f>VLOOKUP(P3,'Race Modification'!C2:BP55,58,FALSE)</f>
        <v>-</v>
      </c>
      <c r="B346" s="174">
        <f>IF(VLOOKUP(P3,'Race Modification'!C2:BP55,52,FALSE)="",0,1)</f>
        <v>0</v>
      </c>
      <c r="C346" s="174" t="str">
        <f>CONCATENATE(VLOOKUP(P3,'Race Modification'!C2:BP55,52,FALSE)," ",L346&amp;"d6"," ","(",VLOOKUP(P3,'Race Modification'!C2:BP55,55,FALSE)&amp;"d6"," ",VLOOKUP(P3,'Race Modification'!C2:BP55,53,FALSE)," ",(IF(VLOOKUP(P3,'Race Modification'!C2:BP55,54,FALSE)="-","",VLOOKUP(P3,'Race Modification'!C2:BP55,54,FALSE)))," damage; range ",VLOOKUP(P3,'Race Modification'!C2:BP55,56,FALSE),"; ",VLOOKUP(P3,'Race Modification'!C2:BP55,57,FALSE),")")</f>
        <v> 0d6 (d6 -  damage; range ; )</v>
      </c>
      <c r="D346" s="174"/>
      <c r="E346" s="174" t="str">
        <f t="shared" ref="E346:E347" si="65">IF(B346=1,C346,"")</f>
        <v/>
      </c>
      <c r="F346" s="174"/>
      <c r="G346" s="174"/>
      <c r="H346" s="174"/>
      <c r="I346" s="174"/>
      <c r="J346" s="174"/>
      <c r="K346" s="174"/>
      <c r="L346" s="174">
        <f>IF(A346="Melee",MAX(AE33:AF33,IF(A346="Ranged",MAX(AF33,AI33))),0)</f>
        <v>0</v>
      </c>
      <c r="M346" s="174"/>
      <c r="N346" s="173"/>
      <c r="O346" s="173"/>
      <c r="P346" s="173"/>
      <c r="Q346" s="173"/>
      <c r="R346" s="173"/>
      <c r="S346" s="173"/>
      <c r="T346" s="173"/>
      <c r="U346" s="173"/>
      <c r="V346" s="173"/>
      <c r="W346" s="173"/>
      <c r="X346" s="173"/>
      <c r="Y346" s="173"/>
      <c r="Z346" s="173"/>
      <c r="AA346" s="173"/>
      <c r="AB346" s="173"/>
      <c r="AC346" s="173"/>
      <c r="AD346" s="173"/>
      <c r="AE346" s="173"/>
      <c r="AF346" s="173"/>
      <c r="AG346" s="173"/>
      <c r="AH346" s="173"/>
      <c r="AI346" s="173"/>
      <c r="AJ346" s="173"/>
      <c r="AK346" s="464" t="s">
        <v>767</v>
      </c>
      <c r="AL346" s="465"/>
      <c r="AM346" s="466">
        <f t="shared" si="64"/>
        <v>1</v>
      </c>
      <c r="AN346" s="173" t="str">
        <f>IF(AM346=0,"The target falls prone in gales of uncontrolled laughter, and can take no other actions.","")</f>
        <v/>
      </c>
      <c r="AO346" s="173"/>
      <c r="AP346" s="173"/>
      <c r="AQ346" s="173"/>
      <c r="AR346" s="217"/>
      <c r="AS346" s="218"/>
    </row>
    <row r="347">
      <c r="A347" s="285" t="str">
        <f>VLOOKUP(P3,'Race Modification'!C2:BP55,65,FALSE)</f>
        <v>-</v>
      </c>
      <c r="B347" s="174">
        <f>IF(VLOOKUP(P3,'Race Modification'!C2:BP55,59,FALSE)="",0,1)</f>
        <v>0</v>
      </c>
      <c r="C347" s="174" t="str">
        <f>CONCATENATE(VLOOKUP(P3,'Race Modification'!C2:BP55,59,FALSE)," ",L347&amp;"d6"," ","(",VLOOKUP(P3,'Race Modification'!C2:BP55,62,FALSE)&amp;"d6"," ",VLOOKUP(P3,'Race Modification'!C2:BP55,60,FALSE)," ",(IF(VLOOKUP(P3,'Race Modification'!C2:BP55,61,FALSE)="-","",VLOOKUP(P3,'Race Modification'!C2:BP55,61,FALSE)))," damage; range ",VLOOKUP(P3,'Race Modification'!C2:BP55,63,FALSE),"; ",VLOOKUP(P3,'Race Modification'!C2:BP55,64,FALSE),")")</f>
        <v> 0d6 (d6 -  damage; range ; )</v>
      </c>
      <c r="D347" s="174"/>
      <c r="E347" s="174" t="str">
        <f t="shared" si="65"/>
        <v/>
      </c>
      <c r="F347" s="174"/>
      <c r="G347" s="174"/>
      <c r="H347" s="174"/>
      <c r="I347" s="174"/>
      <c r="J347" s="174"/>
      <c r="K347" s="174"/>
      <c r="L347" s="361">
        <f>IF(A347="Melee",MAX(AE33:AF33,IF(A347="Ranged",MAX(AF33,AI33))),0)</f>
        <v>0</v>
      </c>
      <c r="M347" s="174"/>
      <c r="N347" s="173"/>
      <c r="O347" s="173"/>
      <c r="P347" s="173"/>
      <c r="Q347" s="173"/>
      <c r="R347" s="173"/>
      <c r="S347" s="173"/>
      <c r="T347" s="173"/>
      <c r="U347" s="173"/>
      <c r="V347" s="173"/>
      <c r="W347" s="173"/>
      <c r="X347" s="173"/>
      <c r="Y347" s="173"/>
      <c r="Z347" s="173"/>
      <c r="AA347" s="173"/>
      <c r="AB347" s="173"/>
      <c r="AC347" s="173"/>
      <c r="AD347" s="173"/>
      <c r="AE347" s="173"/>
      <c r="AF347" s="173"/>
      <c r="AG347" s="173"/>
      <c r="AH347" s="173"/>
      <c r="AI347" s="173"/>
      <c r="AJ347" s="173"/>
      <c r="AK347" s="464" t="s">
        <v>768</v>
      </c>
      <c r="AL347" s="465"/>
      <c r="AM347" s="466">
        <f t="shared" si="64"/>
        <v>1</v>
      </c>
      <c r="AN347" s="173" t="str">
        <f>IF(AM347=0,"The target’s actions each round are completely randomly determined. Roll 1d6. (1) attack nearest creature; (2) flee; (3) babble incoherently; (4) switch sides; (5) become joyous; (6) become enraged.","")</f>
        <v/>
      </c>
      <c r="AO347" s="173"/>
      <c r="AP347" s="173"/>
      <c r="AQ347" s="173"/>
      <c r="AR347" s="217"/>
      <c r="AS347" s="218"/>
    </row>
    <row r="348">
      <c r="A348" s="285"/>
      <c r="B348" s="174"/>
      <c r="C348" s="174"/>
      <c r="D348" s="174"/>
      <c r="E348" s="174"/>
      <c r="F348" s="174"/>
      <c r="G348" s="174"/>
      <c r="H348" s="174"/>
      <c r="I348" s="174"/>
      <c r="J348" s="174"/>
      <c r="K348" s="174"/>
      <c r="L348" s="174"/>
      <c r="M348" s="174"/>
      <c r="N348" s="173"/>
      <c r="O348" s="173"/>
      <c r="P348" s="173"/>
      <c r="Q348" s="173"/>
      <c r="R348" s="173"/>
      <c r="S348" s="173"/>
      <c r="T348" s="173"/>
      <c r="U348" s="173"/>
      <c r="V348" s="173"/>
      <c r="W348" s="173"/>
      <c r="X348" s="173"/>
      <c r="Y348" s="173"/>
      <c r="Z348" s="173"/>
      <c r="AA348" s="173"/>
      <c r="AB348" s="173"/>
      <c r="AC348" s="173"/>
      <c r="AD348" s="173"/>
      <c r="AE348" s="173"/>
      <c r="AF348" s="173"/>
      <c r="AG348" s="173"/>
      <c r="AH348" s="173"/>
      <c r="AI348" s="173"/>
      <c r="AJ348" s="173"/>
      <c r="AK348" s="464" t="s">
        <v>769</v>
      </c>
      <c r="AL348" s="465"/>
      <c r="AM348" s="466">
        <f t="shared" si="64"/>
        <v>1</v>
      </c>
      <c r="AN348" s="173" t="str">
        <f>IF(AM348=0,"The target becomes immune to fear-based effects.","")</f>
        <v/>
      </c>
      <c r="AO348" s="173"/>
      <c r="AP348" s="173"/>
      <c r="AQ348" s="173"/>
      <c r="AR348" s="217"/>
      <c r="AS348" s="218"/>
    </row>
    <row r="349">
      <c r="A349" s="285"/>
      <c r="B349" s="174"/>
      <c r="C349" s="174"/>
      <c r="D349" s="174"/>
      <c r="E349" s="174"/>
      <c r="F349" s="174"/>
      <c r="G349" s="174"/>
      <c r="H349" s="174"/>
      <c r="I349" s="174"/>
      <c r="J349" s="174"/>
      <c r="K349" s="174"/>
      <c r="L349" s="174"/>
      <c r="M349" s="174"/>
      <c r="N349" s="173"/>
      <c r="O349" s="173"/>
      <c r="P349" s="173"/>
      <c r="Q349" s="173"/>
      <c r="R349" s="173"/>
      <c r="S349" s="173"/>
      <c r="T349" s="173"/>
      <c r="U349" s="173"/>
      <c r="V349" s="173"/>
      <c r="W349" s="173"/>
      <c r="X349" s="173"/>
      <c r="Y349" s="173"/>
      <c r="Z349" s="173"/>
      <c r="AA349" s="173"/>
      <c r="AB349" s="173"/>
      <c r="AC349" s="173"/>
      <c r="AD349" s="173"/>
      <c r="AE349" s="173"/>
      <c r="AF349" s="173"/>
      <c r="AG349" s="173"/>
      <c r="AH349" s="173"/>
      <c r="AI349" s="173"/>
      <c r="AJ349" s="173"/>
      <c r="AK349" s="464" t="s">
        <v>770</v>
      </c>
      <c r="AL349" s="465"/>
      <c r="AM349" s="466">
        <f t="shared" si="64"/>
        <v>1</v>
      </c>
      <c r="AN349" s="173" t="str">
        <f>IF(AM349=0,"The target is in a coma and will not awaken.","")</f>
        <v/>
      </c>
      <c r="AO349" s="173"/>
      <c r="AP349" s="173"/>
      <c r="AQ349" s="173"/>
      <c r="AR349" s="217"/>
      <c r="AS349" s="218"/>
    </row>
    <row r="350">
      <c r="A350" s="218"/>
      <c r="B350" s="173"/>
      <c r="C350" s="173"/>
      <c r="D350" s="173"/>
      <c r="E350" s="173"/>
      <c r="F350" s="173"/>
      <c r="G350" s="173"/>
      <c r="H350" s="173"/>
      <c r="I350" s="173"/>
      <c r="J350" s="173"/>
      <c r="K350" s="173"/>
      <c r="L350" s="173"/>
      <c r="M350" s="173"/>
      <c r="N350" s="173"/>
      <c r="O350" s="173"/>
      <c r="P350" s="173"/>
      <c r="Q350" s="173"/>
      <c r="R350" s="173"/>
      <c r="S350" s="173"/>
      <c r="T350" s="173"/>
      <c r="U350" s="173"/>
      <c r="V350" s="173"/>
      <c r="W350" s="173"/>
      <c r="X350" s="173"/>
      <c r="Y350" s="173"/>
      <c r="Z350" s="173"/>
      <c r="AA350" s="173"/>
      <c r="AB350" s="173"/>
      <c r="AC350" s="173"/>
      <c r="AD350" s="173"/>
      <c r="AE350" s="173"/>
      <c r="AF350" s="173"/>
      <c r="AG350" s="173"/>
      <c r="AH350" s="173"/>
      <c r="AI350" s="173"/>
      <c r="AJ350" s="173"/>
      <c r="AK350" s="464" t="s">
        <v>771</v>
      </c>
      <c r="AL350" s="465"/>
      <c r="AM350" s="466">
        <f t="shared" si="64"/>
        <v>1</v>
      </c>
      <c r="AN350" s="173" t="str">
        <f>IF(AM350=0,"The target drops anything it is holding, and must move away from the source of the fear at its full SPEED, and can not approach the source.","")</f>
        <v/>
      </c>
      <c r="AO350" s="173"/>
      <c r="AP350" s="173"/>
      <c r="AQ350" s="173"/>
      <c r="AR350" s="217"/>
      <c r="AS350" s="218"/>
    </row>
    <row r="351">
      <c r="A351" s="218"/>
      <c r="B351" s="173"/>
      <c r="C351" s="173"/>
      <c r="D351" s="173"/>
      <c r="E351" s="173"/>
      <c r="F351" s="173"/>
      <c r="G351" s="173"/>
      <c r="H351" s="173"/>
      <c r="I351" s="173"/>
      <c r="J351" s="173"/>
      <c r="K351" s="173"/>
      <c r="L351" s="173"/>
      <c r="M351" s="173"/>
      <c r="N351" s="173"/>
      <c r="O351" s="173"/>
      <c r="P351" s="173"/>
      <c r="Q351" s="173"/>
      <c r="R351" s="173"/>
      <c r="S351" s="173"/>
      <c r="T351" s="173"/>
      <c r="U351" s="173"/>
      <c r="V351" s="173"/>
      <c r="W351" s="173"/>
      <c r="X351" s="173"/>
      <c r="Y351" s="173"/>
      <c r="Z351" s="173"/>
      <c r="AA351" s="173"/>
      <c r="AB351" s="173"/>
      <c r="AC351" s="173"/>
      <c r="AD351" s="173"/>
      <c r="AE351" s="173"/>
      <c r="AF351" s="173"/>
      <c r="AG351" s="173"/>
      <c r="AH351" s="173"/>
      <c r="AI351" s="173"/>
      <c r="AJ351" s="173"/>
      <c r="AK351" s="464" t="s">
        <v>772</v>
      </c>
      <c r="AL351" s="465"/>
      <c r="AM351" s="466">
        <f t="shared" si="64"/>
        <v>1</v>
      </c>
      <c r="AN351" s="173" t="str">
        <f>IF(AM351=0,"The target takes 1d6 heat damage per round. If wearing metal armor, it takes 2d6 heat damage.","")</f>
        <v/>
      </c>
      <c r="AO351" s="173"/>
      <c r="AP351" s="173"/>
      <c r="AQ351" s="173"/>
      <c r="AR351" s="217"/>
      <c r="AS351" s="218"/>
    </row>
    <row r="352">
      <c r="A352" s="218"/>
      <c r="B352" s="173"/>
      <c r="C352" s="173"/>
      <c r="D352" s="173"/>
      <c r="E352" s="173"/>
      <c r="F352" s="173"/>
      <c r="G352" s="173"/>
      <c r="H352" s="173"/>
      <c r="I352" s="173"/>
      <c r="J352" s="173"/>
      <c r="K352" s="173"/>
      <c r="L352" s="173"/>
      <c r="M352" s="173"/>
      <c r="N352" s="173"/>
      <c r="O352" s="173"/>
      <c r="P352" s="173"/>
      <c r="Q352" s="173"/>
      <c r="R352" s="173"/>
      <c r="S352" s="173"/>
      <c r="T352" s="173"/>
      <c r="U352" s="173"/>
      <c r="V352" s="173"/>
      <c r="W352" s="173"/>
      <c r="X352" s="173"/>
      <c r="Y352" s="173"/>
      <c r="Z352" s="173"/>
      <c r="AA352" s="173"/>
      <c r="AB352" s="173"/>
      <c r="AC352" s="173"/>
      <c r="AD352" s="173"/>
      <c r="AE352" s="173"/>
      <c r="AF352" s="173"/>
      <c r="AG352" s="173"/>
      <c r="AH352" s="173"/>
      <c r="AI352" s="173"/>
      <c r="AJ352" s="173"/>
      <c r="AK352" s="464" t="s">
        <v>773</v>
      </c>
      <c r="AL352" s="465"/>
      <c r="AM352" s="466">
        <f t="shared" si="64"/>
        <v>1</v>
      </c>
      <c r="AN352" s="173" t="str">
        <f>IF(AM352=0,"The target cannot hear at all.","")</f>
        <v/>
      </c>
      <c r="AO352" s="173"/>
      <c r="AP352" s="173"/>
      <c r="AQ352" s="173"/>
      <c r="AR352" s="217"/>
      <c r="AS352" s="218"/>
    </row>
    <row r="353">
      <c r="A353" s="218"/>
      <c r="B353" s="173"/>
      <c r="C353" s="173"/>
      <c r="D353" s="173"/>
      <c r="E353" s="173"/>
      <c r="F353" s="173"/>
      <c r="G353" s="173"/>
      <c r="H353" s="173"/>
      <c r="I353" s="173"/>
      <c r="J353" s="173"/>
      <c r="K353" s="173"/>
      <c r="L353" s="173"/>
      <c r="M353" s="173"/>
      <c r="N353" s="173"/>
      <c r="O353" s="173"/>
      <c r="P353" s="173"/>
      <c r="Q353" s="173"/>
      <c r="R353" s="173"/>
      <c r="S353" s="173"/>
      <c r="T353" s="173"/>
      <c r="U353" s="173"/>
      <c r="V353" s="173"/>
      <c r="W353" s="173"/>
      <c r="X353" s="173"/>
      <c r="Y353" s="173"/>
      <c r="Z353" s="173"/>
      <c r="AA353" s="173"/>
      <c r="AB353" s="173"/>
      <c r="AC353" s="173"/>
      <c r="AD353" s="173"/>
      <c r="AE353" s="173"/>
      <c r="AF353" s="173"/>
      <c r="AG353" s="173"/>
      <c r="AH353" s="173"/>
      <c r="AI353" s="173"/>
      <c r="AJ353" s="173"/>
      <c r="AK353" s="464" t="s">
        <v>774</v>
      </c>
      <c r="AL353" s="465"/>
      <c r="AM353" s="466">
        <f t="shared" si="64"/>
        <v>1</v>
      </c>
      <c r="AN353" s="173" t="str">
        <f>IF(AM353=0,"The target’s actions each round are completely randomly determined. Roll 1d6. (1) attack nearest creature; (2) flee; (3) babble incoherently; (4) switch sides; (5) become joyous; (6) become enraged.","")</f>
        <v/>
      </c>
      <c r="AO353" s="173"/>
      <c r="AP353" s="173"/>
      <c r="AQ353" s="173"/>
      <c r="AR353" s="217"/>
      <c r="AS353" s="218"/>
    </row>
    <row r="354">
      <c r="A354" s="218"/>
      <c r="B354" s="173"/>
      <c r="C354" s="173"/>
      <c r="D354" s="173"/>
      <c r="E354" s="173"/>
      <c r="F354" s="173"/>
      <c r="G354" s="173"/>
      <c r="H354" s="173"/>
      <c r="I354" s="173"/>
      <c r="J354" s="173"/>
      <c r="K354" s="173"/>
      <c r="L354" s="173"/>
      <c r="M354" s="173"/>
      <c r="N354" s="173"/>
      <c r="O354" s="173"/>
      <c r="P354" s="173"/>
      <c r="Q354" s="173"/>
      <c r="R354" s="173"/>
      <c r="S354" s="173"/>
      <c r="T354" s="173"/>
      <c r="U354" s="173"/>
      <c r="V354" s="173"/>
      <c r="W354" s="173"/>
      <c r="X354" s="173"/>
      <c r="Y354" s="173"/>
      <c r="Z354" s="173"/>
      <c r="AA354" s="173"/>
      <c r="AB354" s="173"/>
      <c r="AC354" s="173"/>
      <c r="AD354" s="173"/>
      <c r="AE354" s="173"/>
      <c r="AF354" s="173"/>
      <c r="AG354" s="173"/>
      <c r="AH354" s="173"/>
      <c r="AI354" s="173"/>
      <c r="AJ354" s="173"/>
      <c r="AK354" s="464" t="s">
        <v>775</v>
      </c>
      <c r="AL354" s="465"/>
      <c r="AM354" s="466">
        <f t="shared" si="64"/>
        <v>1</v>
      </c>
      <c r="AN354" s="173" t="str">
        <f>IF(AM354=0,"The target forgets almost everything, and is unable to access any skills or use psionics.","")</f>
        <v/>
      </c>
      <c r="AO354" s="173"/>
      <c r="AP354" s="173"/>
      <c r="AQ354" s="173"/>
      <c r="AR354" s="217"/>
      <c r="AS354" s="218"/>
    </row>
    <row r="355">
      <c r="A355" s="218"/>
      <c r="B355" s="173"/>
      <c r="C355" s="173"/>
      <c r="D355" s="173"/>
      <c r="E355" s="173"/>
      <c r="F355" s="173"/>
      <c r="G355" s="173"/>
      <c r="H355" s="173"/>
      <c r="I355" s="173"/>
      <c r="J355" s="173"/>
      <c r="K355" s="173"/>
      <c r="L355" s="173"/>
      <c r="M355" s="173"/>
      <c r="N355" s="173"/>
      <c r="O355" s="173"/>
      <c r="P355" s="173"/>
      <c r="Q355" s="173"/>
      <c r="R355" s="173"/>
      <c r="S355" s="173"/>
      <c r="T355" s="173"/>
      <c r="U355" s="173"/>
      <c r="V355" s="173"/>
      <c r="W355" s="173"/>
      <c r="X355" s="173"/>
      <c r="Y355" s="173"/>
      <c r="Z355" s="173"/>
      <c r="AA355" s="173"/>
      <c r="AB355" s="173"/>
      <c r="AC355" s="173"/>
      <c r="AD355" s="173"/>
      <c r="AE355" s="173"/>
      <c r="AF355" s="173"/>
      <c r="AG355" s="173"/>
      <c r="AH355" s="173"/>
      <c r="AI355" s="173"/>
      <c r="AJ355" s="173"/>
      <c r="AK355" s="464" t="s">
        <v>776</v>
      </c>
      <c r="AL355" s="465"/>
      <c r="AM355" s="466">
        <f t="shared" si="64"/>
        <v>1</v>
      </c>
      <c r="AN355" s="173" t="str">
        <f>IF(AM355=0,"The target cannot take any physical action.","")</f>
        <v/>
      </c>
      <c r="AO355" s="173"/>
      <c r="AP355" s="173"/>
      <c r="AQ355" s="173"/>
      <c r="AR355" s="217"/>
      <c r="AS355" s="218"/>
    </row>
    <row r="356">
      <c r="A356" s="218"/>
      <c r="B356" s="173"/>
      <c r="C356" s="173"/>
      <c r="D356" s="173"/>
      <c r="E356" s="173"/>
      <c r="F356" s="173"/>
      <c r="G356" s="173"/>
      <c r="H356" s="173"/>
      <c r="I356" s="173"/>
      <c r="J356" s="173"/>
      <c r="K356" s="173"/>
      <c r="L356" s="173"/>
      <c r="M356" s="173"/>
      <c r="N356" s="173"/>
      <c r="O356" s="173"/>
      <c r="P356" s="173"/>
      <c r="Q356" s="173"/>
      <c r="R356" s="173"/>
      <c r="S356" s="173"/>
      <c r="T356" s="173"/>
      <c r="U356" s="173"/>
      <c r="V356" s="173"/>
      <c r="W356" s="173"/>
      <c r="X356" s="173"/>
      <c r="Y356" s="173"/>
      <c r="Z356" s="173"/>
      <c r="AA356" s="173"/>
      <c r="AB356" s="173"/>
      <c r="AC356" s="173"/>
      <c r="AD356" s="173"/>
      <c r="AE356" s="173"/>
      <c r="AF356" s="173"/>
      <c r="AG356" s="173"/>
      <c r="AH356" s="173"/>
      <c r="AI356" s="173"/>
      <c r="AJ356" s="173"/>
      <c r="AK356" s="464" t="s">
        <v>777</v>
      </c>
      <c r="AL356" s="465"/>
      <c r="AM356" s="466">
        <f t="shared" si="64"/>
        <v>1</v>
      </c>
      <c r="AN356" s="173" t="str">
        <f>IF(AM356=0,"The target cannot see at all, cannot make ranged attacks, and suffers a -8 DEFENSE penalty.","")</f>
        <v/>
      </c>
      <c r="AO356" s="173"/>
      <c r="AP356" s="173"/>
      <c r="AQ356" s="173"/>
      <c r="AR356" s="217"/>
      <c r="AS356" s="218"/>
    </row>
    <row r="357">
      <c r="A357" s="218"/>
      <c r="B357" s="173"/>
      <c r="C357" s="173"/>
      <c r="D357" s="173"/>
      <c r="E357" s="173"/>
      <c r="F357" s="173"/>
      <c r="G357" s="173"/>
      <c r="H357" s="173"/>
      <c r="I357" s="173"/>
      <c r="J357" s="173"/>
      <c r="K357" s="173"/>
      <c r="L357" s="173"/>
      <c r="M357" s="173"/>
      <c r="N357" s="173"/>
      <c r="O357" s="173"/>
      <c r="P357" s="173"/>
      <c r="Q357" s="173"/>
      <c r="R357" s="173"/>
      <c r="S357" s="173"/>
      <c r="T357" s="173"/>
      <c r="U357" s="173"/>
      <c r="V357" s="173"/>
      <c r="W357" s="173"/>
      <c r="X357" s="173"/>
      <c r="Y357" s="173"/>
      <c r="Z357" s="173"/>
      <c r="AA357" s="173"/>
      <c r="AB357" s="173"/>
      <c r="AC357" s="173"/>
      <c r="AD357" s="173"/>
      <c r="AE357" s="173"/>
      <c r="AF357" s="173"/>
      <c r="AG357" s="173"/>
      <c r="AH357" s="173"/>
      <c r="AI357" s="173"/>
      <c r="AJ357" s="173"/>
      <c r="AK357" s="464" t="s">
        <v>778</v>
      </c>
      <c r="AL357" s="465"/>
      <c r="AM357" s="466">
        <f t="shared" si="64"/>
        <v>1</v>
      </c>
      <c r="AN357" s="173" t="str">
        <f>IF(AM357=0,"The target is experiencing debilitating pain which prevents it from taking actions.","")</f>
        <v/>
      </c>
      <c r="AO357" s="173"/>
      <c r="AP357" s="173"/>
      <c r="AQ357" s="173"/>
      <c r="AR357" s="217"/>
      <c r="AS357" s="218"/>
    </row>
    <row r="358">
      <c r="A358" s="218"/>
      <c r="B358" s="173"/>
      <c r="C358" s="173"/>
      <c r="D358" s="173"/>
      <c r="E358" s="173"/>
      <c r="F358" s="173"/>
      <c r="G358" s="173"/>
      <c r="H358" s="173"/>
      <c r="I358" s="173"/>
      <c r="J358" s="173"/>
      <c r="K358" s="173"/>
      <c r="L358" s="173"/>
      <c r="M358" s="173"/>
      <c r="N358" s="173"/>
      <c r="O358" s="173"/>
      <c r="P358" s="173"/>
      <c r="Q358" s="173"/>
      <c r="R358" s="173"/>
      <c r="S358" s="173"/>
      <c r="T358" s="173"/>
      <c r="U358" s="173"/>
      <c r="V358" s="173"/>
      <c r="W358" s="173"/>
      <c r="X358" s="173"/>
      <c r="Y358" s="173"/>
      <c r="Z358" s="173"/>
      <c r="AA358" s="173"/>
      <c r="AB358" s="173"/>
      <c r="AC358" s="173"/>
      <c r="AD358" s="173"/>
      <c r="AE358" s="173"/>
      <c r="AF358" s="173"/>
      <c r="AG358" s="173"/>
      <c r="AH358" s="173"/>
      <c r="AI358" s="173"/>
      <c r="AJ358" s="173"/>
      <c r="AK358" s="464" t="s">
        <v>779</v>
      </c>
      <c r="AL358" s="465"/>
      <c r="AM358" s="466">
        <f t="shared" si="64"/>
        <v>1</v>
      </c>
      <c r="AN358" s="173" t="str">
        <f>IF(AM358=0,"The target is so overcome by nausea that it cannot take any actions.","")</f>
        <v/>
      </c>
      <c r="AO358" s="173"/>
      <c r="AP358" s="173"/>
      <c r="AQ358" s="173"/>
      <c r="AR358" s="217"/>
      <c r="AS358" s="218"/>
    </row>
    <row r="359">
      <c r="A359" s="218"/>
      <c r="B359" s="173"/>
      <c r="C359" s="173"/>
      <c r="D359" s="173"/>
      <c r="E359" s="173"/>
      <c r="F359" s="173"/>
      <c r="G359" s="173"/>
      <c r="H359" s="173"/>
      <c r="I359" s="173"/>
      <c r="J359" s="173"/>
      <c r="K359" s="173"/>
      <c r="L359" s="173"/>
      <c r="M359" s="173"/>
      <c r="N359" s="173"/>
      <c r="O359" s="173"/>
      <c r="P359" s="173"/>
      <c r="Q359" s="173"/>
      <c r="R359" s="173"/>
      <c r="S359" s="173"/>
      <c r="T359" s="173"/>
      <c r="U359" s="173"/>
      <c r="V359" s="173"/>
      <c r="W359" s="173"/>
      <c r="X359" s="173"/>
      <c r="Y359" s="173"/>
      <c r="Z359" s="173"/>
      <c r="AA359" s="173"/>
      <c r="AB359" s="173"/>
      <c r="AC359" s="173"/>
      <c r="AD359" s="173"/>
      <c r="AE359" s="173"/>
      <c r="AF359" s="173"/>
      <c r="AG359" s="173"/>
      <c r="AH359" s="173"/>
      <c r="AI359" s="173"/>
      <c r="AJ359" s="173"/>
      <c r="AK359" s="464" t="s">
        <v>780</v>
      </c>
      <c r="AL359" s="465"/>
      <c r="AM359" s="466">
        <f t="shared" si="64"/>
        <v>1</v>
      </c>
      <c r="AN359" s="173" t="str">
        <f>IF(AM359=0,"The target has a max HEALTH of half its normal HEALTH and cannot access its LUCK pool.","")</f>
        <v/>
      </c>
      <c r="AO359" s="173"/>
      <c r="AP359" s="173"/>
      <c r="AQ359" s="173"/>
      <c r="AR359" s="217"/>
      <c r="AS359" s="218"/>
    </row>
    <row r="360">
      <c r="A360" s="218"/>
      <c r="B360" s="173"/>
      <c r="C360" s="173"/>
      <c r="D360" s="173"/>
      <c r="E360" s="173"/>
      <c r="F360" s="173"/>
      <c r="G360" s="173"/>
      <c r="H360" s="173"/>
      <c r="I360" s="173"/>
      <c r="J360" s="173"/>
      <c r="K360" s="173"/>
      <c r="L360" s="173"/>
      <c r="M360" s="173"/>
      <c r="N360" s="173"/>
      <c r="O360" s="173"/>
      <c r="P360" s="173"/>
      <c r="Q360" s="173"/>
      <c r="R360" s="173"/>
      <c r="S360" s="173"/>
      <c r="T360" s="173"/>
      <c r="U360" s="173"/>
      <c r="V360" s="173"/>
      <c r="W360" s="173"/>
      <c r="X360" s="173"/>
      <c r="Y360" s="173"/>
      <c r="Z360" s="173"/>
      <c r="AA360" s="173"/>
      <c r="AB360" s="173"/>
      <c r="AC360" s="173"/>
      <c r="AD360" s="173"/>
      <c r="AE360" s="173"/>
      <c r="AF360" s="173"/>
      <c r="AG360" s="173"/>
      <c r="AH360" s="173"/>
      <c r="AI360" s="173"/>
      <c r="AJ360" s="173"/>
      <c r="AK360" s="173"/>
      <c r="AL360" s="173"/>
      <c r="AM360" s="173"/>
      <c r="AN360" s="173"/>
      <c r="AO360" s="173"/>
      <c r="AP360" s="173"/>
      <c r="AQ360" s="173"/>
      <c r="AR360" s="217"/>
      <c r="AS360" s="218"/>
    </row>
    <row r="361">
      <c r="A361" s="218"/>
      <c r="B361" s="173"/>
      <c r="C361" s="173"/>
      <c r="D361" s="173"/>
      <c r="E361" s="173"/>
      <c r="F361" s="173"/>
      <c r="G361" s="173"/>
      <c r="H361" s="173"/>
      <c r="I361" s="173"/>
      <c r="J361" s="173"/>
      <c r="K361" s="173"/>
      <c r="L361" s="173"/>
      <c r="M361" s="173"/>
      <c r="N361" s="173"/>
      <c r="O361" s="173"/>
      <c r="P361" s="173"/>
      <c r="Q361" s="173"/>
      <c r="R361" s="173"/>
      <c r="S361" s="173"/>
      <c r="T361" s="173"/>
      <c r="U361" s="173"/>
      <c r="V361" s="173"/>
      <c r="W361" s="173"/>
      <c r="X361" s="173"/>
      <c r="Y361" s="173"/>
      <c r="Z361" s="173"/>
      <c r="AA361" s="173"/>
      <c r="AB361" s="173"/>
      <c r="AC361" s="173"/>
      <c r="AD361" s="173"/>
      <c r="AE361" s="173"/>
      <c r="AF361" s="173"/>
      <c r="AG361" s="173"/>
      <c r="AH361" s="173"/>
      <c r="AI361" s="173"/>
      <c r="AJ361" s="173"/>
      <c r="AK361" s="173"/>
      <c r="AL361" s="173"/>
      <c r="AM361" s="173"/>
      <c r="AN361" s="173"/>
      <c r="AO361" s="173"/>
      <c r="AP361" s="173"/>
      <c r="AQ361" s="173"/>
      <c r="AR361" s="217"/>
      <c r="AS361" s="218"/>
    </row>
    <row r="362">
      <c r="A362" s="218"/>
      <c r="B362" s="173"/>
      <c r="C362" s="173"/>
      <c r="D362" s="173"/>
      <c r="E362" s="173"/>
      <c r="F362" s="173"/>
      <c r="G362" s="173"/>
      <c r="H362" s="173"/>
      <c r="I362" s="173"/>
      <c r="J362" s="173"/>
      <c r="K362" s="173"/>
      <c r="L362" s="173"/>
      <c r="M362" s="173"/>
      <c r="N362" s="173"/>
      <c r="O362" s="173"/>
      <c r="P362" s="173"/>
      <c r="Q362" s="173"/>
      <c r="R362" s="173"/>
      <c r="S362" s="173"/>
      <c r="T362" s="173"/>
      <c r="U362" s="173"/>
      <c r="V362" s="173"/>
      <c r="W362" s="173"/>
      <c r="X362" s="173"/>
      <c r="Y362" s="173"/>
      <c r="Z362" s="173"/>
      <c r="AA362" s="173"/>
      <c r="AB362" s="173"/>
      <c r="AC362" s="173"/>
      <c r="AD362" s="173"/>
      <c r="AE362" s="173"/>
      <c r="AF362" s="173"/>
      <c r="AG362" s="173"/>
      <c r="AH362" s="173"/>
      <c r="AI362" s="173"/>
      <c r="AJ362" s="173"/>
      <c r="AK362" s="173"/>
      <c r="AL362" s="173"/>
      <c r="AM362" s="173"/>
      <c r="AN362" s="173"/>
      <c r="AO362" s="173"/>
      <c r="AP362" s="173"/>
      <c r="AQ362" s="173"/>
      <c r="AR362" s="217"/>
      <c r="AS362" s="218"/>
    </row>
    <row r="363">
      <c r="A363" s="218"/>
      <c r="B363" s="173"/>
      <c r="C363" s="173"/>
      <c r="D363" s="173"/>
      <c r="E363" s="173"/>
      <c r="F363" s="173"/>
      <c r="G363" s="173"/>
      <c r="H363" s="173"/>
      <c r="I363" s="173"/>
      <c r="J363" s="173"/>
      <c r="K363" s="173"/>
      <c r="L363" s="173"/>
      <c r="M363" s="173"/>
      <c r="N363" s="173"/>
      <c r="O363" s="173"/>
      <c r="P363" s="173"/>
      <c r="Q363" s="173"/>
      <c r="R363" s="173"/>
      <c r="S363" s="173"/>
      <c r="T363" s="173"/>
      <c r="U363" s="173"/>
      <c r="V363" s="173"/>
      <c r="W363" s="173"/>
      <c r="X363" s="173"/>
      <c r="Y363" s="173"/>
      <c r="Z363" s="173"/>
      <c r="AA363" s="173"/>
      <c r="AB363" s="173"/>
      <c r="AC363" s="173"/>
      <c r="AD363" s="173"/>
      <c r="AE363" s="173"/>
      <c r="AF363" s="173"/>
      <c r="AG363" s="173"/>
      <c r="AH363" s="173"/>
      <c r="AI363" s="173"/>
      <c r="AJ363" s="173"/>
      <c r="AK363" s="173"/>
      <c r="AL363" s="173"/>
      <c r="AM363" s="173"/>
      <c r="AN363" s="173"/>
      <c r="AO363" s="173"/>
      <c r="AP363" s="173"/>
      <c r="AQ363" s="173"/>
      <c r="AR363" s="217"/>
      <c r="AS363" s="218"/>
    </row>
    <row r="364">
      <c r="A364" s="218"/>
      <c r="B364" s="173"/>
      <c r="C364" s="173"/>
      <c r="D364" s="173"/>
      <c r="E364" s="173"/>
      <c r="F364" s="173"/>
      <c r="G364" s="173"/>
      <c r="H364" s="173"/>
      <c r="I364" s="173"/>
      <c r="J364" s="173"/>
      <c r="K364" s="173"/>
      <c r="L364" s="173"/>
      <c r="M364" s="173"/>
      <c r="N364" s="173"/>
      <c r="O364" s="173"/>
      <c r="P364" s="173"/>
      <c r="Q364" s="173"/>
      <c r="R364" s="173"/>
      <c r="S364" s="173"/>
      <c r="T364" s="173"/>
      <c r="U364" s="173"/>
      <c r="V364" s="173"/>
      <c r="W364" s="173"/>
      <c r="X364" s="173"/>
      <c r="Y364" s="173"/>
      <c r="Z364" s="173"/>
      <c r="AA364" s="173"/>
      <c r="AB364" s="173"/>
      <c r="AC364" s="173"/>
      <c r="AD364" s="173"/>
      <c r="AE364" s="173"/>
      <c r="AF364" s="173"/>
      <c r="AG364" s="173"/>
      <c r="AH364" s="173"/>
      <c r="AI364" s="173"/>
      <c r="AJ364" s="173"/>
      <c r="AK364" s="173"/>
      <c r="AL364" s="173"/>
      <c r="AM364" s="173"/>
      <c r="AN364" s="173"/>
      <c r="AO364" s="173"/>
      <c r="AP364" s="173"/>
      <c r="AQ364" s="173"/>
      <c r="AR364" s="217"/>
      <c r="AS364" s="218"/>
    </row>
    <row r="365">
      <c r="A365" s="218"/>
      <c r="B365" s="173"/>
      <c r="C365" s="173"/>
      <c r="D365" s="173"/>
      <c r="E365" s="173"/>
      <c r="F365" s="173"/>
      <c r="G365" s="173"/>
      <c r="H365" s="173"/>
      <c r="I365" s="173"/>
      <c r="J365" s="173"/>
      <c r="K365" s="173"/>
      <c r="L365" s="173"/>
      <c r="M365" s="173"/>
      <c r="N365" s="173"/>
      <c r="O365" s="173"/>
      <c r="P365" s="173"/>
      <c r="Q365" s="173"/>
      <c r="R365" s="173"/>
      <c r="S365" s="173"/>
      <c r="T365" s="173"/>
      <c r="U365" s="173"/>
      <c r="V365" s="173"/>
      <c r="W365" s="173"/>
      <c r="X365" s="173"/>
      <c r="Y365" s="173"/>
      <c r="Z365" s="173"/>
      <c r="AA365" s="173"/>
      <c r="AB365" s="173"/>
      <c r="AC365" s="173"/>
      <c r="AD365" s="173"/>
      <c r="AE365" s="173"/>
      <c r="AF365" s="173"/>
      <c r="AG365" s="173"/>
      <c r="AH365" s="173"/>
      <c r="AI365" s="173"/>
      <c r="AJ365" s="173"/>
      <c r="AK365" s="173"/>
      <c r="AL365" s="173"/>
      <c r="AM365" s="173"/>
      <c r="AN365" s="173"/>
      <c r="AO365" s="173"/>
      <c r="AP365" s="173"/>
      <c r="AQ365" s="173"/>
      <c r="AR365" s="217"/>
      <c r="AS365" s="218"/>
    </row>
    <row r="366">
      <c r="A366" s="218"/>
      <c r="B366" s="173"/>
      <c r="C366" s="173"/>
      <c r="D366" s="173"/>
      <c r="E366" s="173"/>
      <c r="F366" s="173"/>
      <c r="G366" s="173"/>
      <c r="H366" s="173"/>
      <c r="I366" s="173"/>
      <c r="J366" s="173"/>
      <c r="K366" s="173"/>
      <c r="L366" s="173"/>
      <c r="M366" s="173"/>
      <c r="N366" s="173"/>
      <c r="O366" s="173"/>
      <c r="P366" s="173"/>
      <c r="Q366" s="173"/>
      <c r="R366" s="173"/>
      <c r="S366" s="173"/>
      <c r="T366" s="173"/>
      <c r="U366" s="173"/>
      <c r="V366" s="173"/>
      <c r="W366" s="173"/>
      <c r="X366" s="173"/>
      <c r="Y366" s="173"/>
      <c r="Z366" s="173"/>
      <c r="AA366" s="173"/>
      <c r="AB366" s="173"/>
      <c r="AC366" s="173"/>
      <c r="AD366" s="173"/>
      <c r="AE366" s="173"/>
      <c r="AF366" s="173"/>
      <c r="AG366" s="173"/>
      <c r="AH366" s="173"/>
      <c r="AI366" s="173"/>
      <c r="AJ366" s="173"/>
      <c r="AK366" s="173"/>
      <c r="AL366" s="173"/>
      <c r="AM366" s="173"/>
      <c r="AN366" s="173"/>
      <c r="AO366" s="173"/>
      <c r="AP366" s="173"/>
      <c r="AQ366" s="173"/>
      <c r="AR366" s="217"/>
      <c r="AS366" s="218"/>
    </row>
    <row r="367">
      <c r="A367" s="218"/>
      <c r="B367" s="173"/>
      <c r="C367" s="173"/>
      <c r="D367" s="173"/>
      <c r="E367" s="173"/>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217"/>
      <c r="AS367" s="218"/>
    </row>
    <row r="368">
      <c r="A368" s="218"/>
      <c r="B368" s="173"/>
      <c r="C368" s="173"/>
      <c r="D368" s="173"/>
      <c r="E368" s="173"/>
      <c r="F368" s="173"/>
      <c r="G368" s="173"/>
      <c r="H368" s="173"/>
      <c r="I368" s="173"/>
      <c r="J368" s="173"/>
      <c r="K368" s="173"/>
      <c r="L368" s="173"/>
      <c r="M368" s="173"/>
      <c r="N368" s="173"/>
      <c r="O368" s="173"/>
      <c r="P368" s="173"/>
      <c r="Q368" s="173"/>
      <c r="R368" s="173"/>
      <c r="S368" s="173"/>
      <c r="T368" s="173"/>
      <c r="U368" s="173"/>
      <c r="V368" s="173"/>
      <c r="W368" s="173"/>
      <c r="X368" s="173"/>
      <c r="Y368" s="173"/>
      <c r="Z368" s="173"/>
      <c r="AA368" s="173"/>
      <c r="AB368" s="173"/>
      <c r="AC368" s="173"/>
      <c r="AD368" s="173"/>
      <c r="AE368" s="173"/>
      <c r="AF368" s="173"/>
      <c r="AG368" s="173"/>
      <c r="AH368" s="173"/>
      <c r="AI368" s="173"/>
      <c r="AJ368" s="173"/>
      <c r="AK368" s="173"/>
      <c r="AL368" s="173"/>
      <c r="AM368" s="173"/>
      <c r="AN368" s="173"/>
      <c r="AO368" s="173"/>
      <c r="AP368" s="173"/>
      <c r="AQ368" s="173"/>
      <c r="AR368" s="217"/>
      <c r="AS368" s="218"/>
    </row>
    <row r="369">
      <c r="A369" s="218"/>
      <c r="B369" s="173"/>
      <c r="C369" s="173"/>
      <c r="D369" s="173"/>
      <c r="E369" s="173"/>
      <c r="F369" s="173"/>
      <c r="G369" s="173"/>
      <c r="H369" s="173"/>
      <c r="I369" s="173"/>
      <c r="J369" s="173"/>
      <c r="K369" s="173"/>
      <c r="L369" s="173"/>
      <c r="M369" s="173"/>
      <c r="N369" s="173"/>
      <c r="O369" s="173"/>
      <c r="P369" s="173"/>
      <c r="Q369" s="173"/>
      <c r="R369" s="173"/>
      <c r="S369" s="173"/>
      <c r="T369" s="173"/>
      <c r="U369" s="173"/>
      <c r="V369" s="173"/>
      <c r="W369" s="173"/>
      <c r="X369" s="173"/>
      <c r="Y369" s="173"/>
      <c r="Z369" s="173"/>
      <c r="AA369" s="173"/>
      <c r="AB369" s="173"/>
      <c r="AC369" s="468">
        <v>-6.0</v>
      </c>
      <c r="AD369" s="468">
        <v>-21.0</v>
      </c>
      <c r="AE369" s="468">
        <v>3.0</v>
      </c>
      <c r="AF369" s="173"/>
      <c r="AG369" s="173"/>
      <c r="AH369" s="173"/>
      <c r="AI369" s="173"/>
      <c r="AJ369" s="173"/>
      <c r="AK369" s="173"/>
      <c r="AL369" s="173"/>
      <c r="AM369" s="173"/>
      <c r="AN369" s="173"/>
      <c r="AO369" s="173"/>
      <c r="AP369" s="173"/>
      <c r="AQ369" s="173"/>
      <c r="AR369" s="217"/>
      <c r="AS369" s="218"/>
    </row>
    <row r="370">
      <c r="A370" s="218"/>
      <c r="B370" s="173"/>
      <c r="C370" s="173"/>
      <c r="D370" s="173"/>
      <c r="E370" s="173"/>
      <c r="F370" s="173"/>
      <c r="G370" s="173"/>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468">
        <v>-5.0</v>
      </c>
      <c r="AD370" s="468">
        <v>-18.0</v>
      </c>
      <c r="AE370" s="468">
        <v>4.0</v>
      </c>
      <c r="AF370" s="173"/>
      <c r="AG370" s="173"/>
      <c r="AH370" s="173"/>
      <c r="AI370" s="173"/>
      <c r="AJ370" s="173"/>
      <c r="AK370" s="173"/>
      <c r="AL370" s="173"/>
      <c r="AM370" s="173"/>
      <c r="AN370" s="173"/>
      <c r="AO370" s="173"/>
      <c r="AP370" s="173"/>
      <c r="AQ370" s="173"/>
      <c r="AR370" s="217"/>
      <c r="AS370" s="218"/>
    </row>
    <row r="371">
      <c r="A371" s="218"/>
      <c r="B371" s="173"/>
      <c r="C371" s="173"/>
      <c r="D371" s="173"/>
      <c r="E371" s="173"/>
      <c r="F371" s="173"/>
      <c r="G371" s="173"/>
      <c r="H371" s="173"/>
      <c r="I371" s="173"/>
      <c r="J371" s="173"/>
      <c r="K371" s="173"/>
      <c r="L371" s="173"/>
      <c r="M371" s="173"/>
      <c r="N371" s="173"/>
      <c r="O371" s="173"/>
      <c r="P371" s="173"/>
      <c r="Q371" s="173"/>
      <c r="R371" s="173"/>
      <c r="S371" s="173"/>
      <c r="T371" s="173"/>
      <c r="U371" s="173"/>
      <c r="V371" s="173"/>
      <c r="W371" s="173"/>
      <c r="X371" s="173"/>
      <c r="Y371" s="173"/>
      <c r="Z371" s="173"/>
      <c r="AA371" s="173"/>
      <c r="AB371" s="173"/>
      <c r="AC371" s="468">
        <v>-4.0</v>
      </c>
      <c r="AD371" s="468">
        <v>-14.0</v>
      </c>
      <c r="AE371" s="468">
        <v>3.0</v>
      </c>
      <c r="AF371" s="173"/>
      <c r="AG371" s="173"/>
      <c r="AH371" s="173"/>
      <c r="AI371" s="173"/>
      <c r="AJ371" s="173"/>
      <c r="AK371" s="173"/>
      <c r="AL371" s="173"/>
      <c r="AM371" s="173"/>
      <c r="AN371" s="173"/>
      <c r="AO371" s="173"/>
      <c r="AP371" s="173"/>
      <c r="AQ371" s="173"/>
      <c r="AR371" s="217"/>
      <c r="AS371" s="218"/>
    </row>
    <row r="372">
      <c r="A372" s="218"/>
      <c r="B372" s="173"/>
      <c r="C372" s="173"/>
      <c r="D372" s="173"/>
      <c r="E372" s="173"/>
      <c r="F372" s="173"/>
      <c r="G372" s="173"/>
      <c r="H372" s="173"/>
      <c r="I372" s="173"/>
      <c r="J372" s="173"/>
      <c r="K372" s="173"/>
      <c r="L372" s="173"/>
      <c r="M372" s="173"/>
      <c r="N372" s="173"/>
      <c r="O372" s="173"/>
      <c r="P372" s="173"/>
      <c r="Q372" s="173"/>
      <c r="R372" s="173"/>
      <c r="S372" s="173"/>
      <c r="T372" s="173"/>
      <c r="U372" s="173"/>
      <c r="V372" s="173"/>
      <c r="W372" s="173"/>
      <c r="X372" s="173"/>
      <c r="Y372" s="173"/>
      <c r="Z372" s="173"/>
      <c r="AA372" s="173"/>
      <c r="AB372" s="173"/>
      <c r="AC372" s="468">
        <v>-3.0</v>
      </c>
      <c r="AD372" s="468">
        <v>-11.0</v>
      </c>
      <c r="AE372" s="468">
        <v>4.0</v>
      </c>
      <c r="AF372" s="173"/>
      <c r="AG372" s="468"/>
      <c r="AH372" s="173"/>
      <c r="AI372" s="173"/>
      <c r="AJ372" s="173"/>
      <c r="AK372" s="173"/>
      <c r="AL372" s="173"/>
      <c r="AM372" s="173"/>
      <c r="AN372" s="173"/>
      <c r="AO372" s="173"/>
      <c r="AP372" s="173"/>
      <c r="AQ372" s="173"/>
      <c r="AR372" s="217"/>
      <c r="AS372" s="218"/>
    </row>
    <row r="373">
      <c r="A373" s="218"/>
      <c r="B373" s="173"/>
      <c r="C373" s="173"/>
      <c r="D373" s="173"/>
      <c r="E373" s="173"/>
      <c r="F373" s="173"/>
      <c r="G373" s="173"/>
      <c r="H373" s="173"/>
      <c r="I373" s="173"/>
      <c r="J373" s="173"/>
      <c r="K373" s="173"/>
      <c r="L373" s="173"/>
      <c r="M373" s="173"/>
      <c r="N373" s="173"/>
      <c r="O373" s="173"/>
      <c r="P373" s="173"/>
      <c r="Q373" s="173"/>
      <c r="R373" s="173"/>
      <c r="S373" s="173"/>
      <c r="T373" s="173"/>
      <c r="U373" s="173"/>
      <c r="V373" s="173"/>
      <c r="W373" s="173"/>
      <c r="X373" s="173"/>
      <c r="Y373" s="173"/>
      <c r="Z373" s="173"/>
      <c r="AA373" s="173"/>
      <c r="AB373" s="173"/>
      <c r="AC373" s="468">
        <v>-2.0</v>
      </c>
      <c r="AD373" s="468">
        <v>-7.0</v>
      </c>
      <c r="AE373" s="468">
        <v>3.0</v>
      </c>
      <c r="AF373" s="173"/>
      <c r="AG373" s="173"/>
      <c r="AH373" s="173"/>
      <c r="AI373" s="173"/>
      <c r="AJ373" s="173"/>
      <c r="AK373" s="173"/>
      <c r="AL373" s="173"/>
      <c r="AM373" s="173"/>
      <c r="AN373" s="173"/>
      <c r="AO373" s="173"/>
      <c r="AP373" s="173"/>
      <c r="AQ373" s="173"/>
      <c r="AR373" s="217"/>
      <c r="AS373" s="218"/>
    </row>
    <row r="374">
      <c r="A374" s="218"/>
      <c r="B374" s="173"/>
      <c r="C374" s="173"/>
      <c r="D374" s="173"/>
      <c r="E374" s="173"/>
      <c r="F374" s="173"/>
      <c r="G374" s="173"/>
      <c r="H374" s="173"/>
      <c r="I374" s="173"/>
      <c r="J374" s="173"/>
      <c r="K374" s="173"/>
      <c r="L374" s="173"/>
      <c r="M374" s="173"/>
      <c r="N374" s="173"/>
      <c r="O374" s="173"/>
      <c r="P374" s="173"/>
      <c r="Q374" s="173"/>
      <c r="R374" s="173"/>
      <c r="S374" s="173"/>
      <c r="T374" s="173"/>
      <c r="U374" s="173"/>
      <c r="V374" s="173"/>
      <c r="W374" s="173"/>
      <c r="X374" s="173"/>
      <c r="Y374" s="173"/>
      <c r="Z374" s="173"/>
      <c r="AA374" s="173"/>
      <c r="AB374" s="173"/>
      <c r="AC374" s="468">
        <v>-1.0</v>
      </c>
      <c r="AD374" s="468">
        <v>-4.0</v>
      </c>
      <c r="AE374" s="468">
        <v>4.0</v>
      </c>
      <c r="AF374" s="173"/>
      <c r="AG374" s="173"/>
      <c r="AH374" s="173"/>
      <c r="AI374" s="173"/>
      <c r="AJ374" s="173"/>
      <c r="AK374" s="173"/>
      <c r="AL374" s="173"/>
      <c r="AM374" s="173"/>
      <c r="AN374" s="173"/>
      <c r="AO374" s="173"/>
      <c r="AP374" s="173"/>
      <c r="AQ374" s="173"/>
      <c r="AR374" s="217"/>
      <c r="AS374" s="218"/>
    </row>
    <row r="375">
      <c r="A375" s="218"/>
      <c r="B375" s="173"/>
      <c r="C375" s="173"/>
      <c r="D375" s="173"/>
      <c r="E375" s="173"/>
      <c r="F375" s="173"/>
      <c r="G375" s="173"/>
      <c r="H375" s="173"/>
      <c r="I375" s="173"/>
      <c r="J375" s="173"/>
      <c r="K375" s="173"/>
      <c r="L375" s="173"/>
      <c r="M375" s="173"/>
      <c r="N375" s="173"/>
      <c r="O375" s="173"/>
      <c r="P375" s="173"/>
      <c r="Q375" s="173"/>
      <c r="R375" s="173"/>
      <c r="S375" s="173"/>
      <c r="T375" s="173"/>
      <c r="U375" s="173"/>
      <c r="V375" s="173"/>
      <c r="W375" s="173"/>
      <c r="X375" s="173"/>
      <c r="Y375" s="173"/>
      <c r="Z375" s="173"/>
      <c r="AA375" s="173"/>
      <c r="AB375" s="173"/>
      <c r="AC375" s="468">
        <v>0.0</v>
      </c>
      <c r="AD375" s="173">
        <f>0+AE375</f>
        <v>0</v>
      </c>
      <c r="AE375" s="468">
        <v>0.0</v>
      </c>
      <c r="AF375" s="173"/>
      <c r="AG375" s="173"/>
      <c r="AH375" s="173"/>
      <c r="AI375" s="173"/>
      <c r="AJ375" s="173"/>
      <c r="AK375" s="173"/>
      <c r="AL375" s="173"/>
      <c r="AM375" s="173"/>
      <c r="AN375" s="173"/>
      <c r="AO375" s="173"/>
      <c r="AP375" s="173"/>
      <c r="AQ375" s="173"/>
      <c r="AR375" s="217"/>
      <c r="AS375" s="218"/>
    </row>
    <row r="376">
      <c r="A376" s="218"/>
      <c r="B376" s="173"/>
      <c r="C376" s="173"/>
      <c r="D376" s="173"/>
      <c r="E376" s="173"/>
      <c r="F376" s="173"/>
      <c r="G376" s="173"/>
      <c r="H376" s="173"/>
      <c r="I376" s="173"/>
      <c r="J376" s="173"/>
      <c r="K376" s="173"/>
      <c r="L376" s="173"/>
      <c r="M376" s="173"/>
      <c r="N376" s="173"/>
      <c r="O376" s="173"/>
      <c r="P376" s="173"/>
      <c r="Q376" s="173"/>
      <c r="R376" s="173"/>
      <c r="S376" s="173"/>
      <c r="T376" s="173"/>
      <c r="U376" s="173"/>
      <c r="V376" s="173"/>
      <c r="W376" s="173"/>
      <c r="X376" s="173"/>
      <c r="Y376" s="173"/>
      <c r="Z376" s="173"/>
      <c r="AA376" s="173"/>
      <c r="AB376" s="173"/>
      <c r="AC376" s="468">
        <v>1.0</v>
      </c>
      <c r="AD376" s="173">
        <f t="shared" ref="AD376:AD439" si="66">0+AE376+AD375</f>
        <v>4</v>
      </c>
      <c r="AE376" s="468">
        <v>4.0</v>
      </c>
      <c r="AF376" s="173"/>
      <c r="AG376" s="173"/>
      <c r="AH376" s="173"/>
      <c r="AI376" s="173"/>
      <c r="AJ376" s="173"/>
      <c r="AK376" s="173"/>
      <c r="AL376" s="173"/>
      <c r="AM376" s="173"/>
      <c r="AN376" s="173"/>
      <c r="AO376" s="173"/>
      <c r="AP376" s="173"/>
      <c r="AQ376" s="173"/>
      <c r="AR376" s="217"/>
      <c r="AS376" s="218"/>
    </row>
    <row r="377">
      <c r="A377" s="218"/>
      <c r="B377" s="173"/>
      <c r="C377" s="173"/>
      <c r="D377" s="173"/>
      <c r="E377" s="173"/>
      <c r="F377" s="173"/>
      <c r="G377" s="173"/>
      <c r="H377" s="173"/>
      <c r="I377" s="173"/>
      <c r="J377" s="173"/>
      <c r="K377" s="173"/>
      <c r="L377" s="173"/>
      <c r="M377" s="173"/>
      <c r="N377" s="173"/>
      <c r="O377" s="173"/>
      <c r="P377" s="173"/>
      <c r="Q377" s="173"/>
      <c r="R377" s="173"/>
      <c r="S377" s="173"/>
      <c r="T377" s="173"/>
      <c r="U377" s="173"/>
      <c r="V377" s="173"/>
      <c r="W377" s="173"/>
      <c r="X377" s="173"/>
      <c r="Y377" s="173"/>
      <c r="Z377" s="173"/>
      <c r="AA377" s="173"/>
      <c r="AB377" s="173"/>
      <c r="AC377" s="468">
        <v>2.0</v>
      </c>
      <c r="AD377" s="173">
        <f t="shared" si="66"/>
        <v>7</v>
      </c>
      <c r="AE377" s="468">
        <v>3.0</v>
      </c>
      <c r="AF377" s="173"/>
      <c r="AG377" s="173"/>
      <c r="AH377" s="173"/>
      <c r="AI377" s="173"/>
      <c r="AJ377" s="173"/>
      <c r="AK377" s="173"/>
      <c r="AL377" s="173"/>
      <c r="AM377" s="173"/>
      <c r="AN377" s="173"/>
      <c r="AO377" s="173"/>
      <c r="AP377" s="173"/>
      <c r="AQ377" s="173"/>
      <c r="AR377" s="217"/>
      <c r="AS377" s="218"/>
    </row>
    <row r="378">
      <c r="A378" s="218"/>
      <c r="B378" s="173"/>
      <c r="C378" s="173"/>
      <c r="D378" s="173"/>
      <c r="E378" s="173"/>
      <c r="F378" s="173"/>
      <c r="G378" s="173"/>
      <c r="H378" s="173"/>
      <c r="I378" s="173"/>
      <c r="J378" s="173"/>
      <c r="K378" s="173"/>
      <c r="L378" s="173"/>
      <c r="M378" s="173"/>
      <c r="N378" s="173"/>
      <c r="O378" s="173"/>
      <c r="P378" s="173"/>
      <c r="Q378" s="173"/>
      <c r="R378" s="173"/>
      <c r="S378" s="173"/>
      <c r="T378" s="173"/>
      <c r="U378" s="173"/>
      <c r="V378" s="173"/>
      <c r="W378" s="173"/>
      <c r="X378" s="173"/>
      <c r="Y378" s="173"/>
      <c r="Z378" s="173"/>
      <c r="AA378" s="173"/>
      <c r="AB378" s="173"/>
      <c r="AC378" s="468">
        <v>3.0</v>
      </c>
      <c r="AD378" s="173">
        <f t="shared" si="66"/>
        <v>11</v>
      </c>
      <c r="AE378" s="468">
        <v>4.0</v>
      </c>
      <c r="AF378" s="173"/>
      <c r="AG378" s="173"/>
      <c r="AH378" s="173"/>
      <c r="AI378" s="173"/>
      <c r="AJ378" s="173"/>
      <c r="AK378" s="173"/>
      <c r="AL378" s="173"/>
      <c r="AM378" s="173"/>
      <c r="AN378" s="173"/>
      <c r="AO378" s="173"/>
      <c r="AP378" s="173"/>
      <c r="AQ378" s="173"/>
      <c r="AR378" s="217"/>
      <c r="AS378" s="218"/>
    </row>
    <row r="379">
      <c r="A379" s="218"/>
      <c r="B379" s="173"/>
      <c r="C379" s="173"/>
      <c r="D379" s="173"/>
      <c r="E379" s="173"/>
      <c r="F379" s="173"/>
      <c r="G379" s="173"/>
      <c r="H379" s="173"/>
      <c r="I379" s="173"/>
      <c r="J379" s="173"/>
      <c r="K379" s="173"/>
      <c r="L379" s="173"/>
      <c r="M379" s="173"/>
      <c r="N379" s="173"/>
      <c r="O379" s="173"/>
      <c r="P379" s="173"/>
      <c r="Q379" s="173"/>
      <c r="R379" s="173"/>
      <c r="S379" s="173"/>
      <c r="T379" s="173"/>
      <c r="U379" s="173"/>
      <c r="V379" s="173"/>
      <c r="W379" s="173"/>
      <c r="X379" s="173"/>
      <c r="Y379" s="173"/>
      <c r="Z379" s="173"/>
      <c r="AA379" s="173"/>
      <c r="AB379" s="173"/>
      <c r="AC379" s="468">
        <v>4.0</v>
      </c>
      <c r="AD379" s="173">
        <f t="shared" si="66"/>
        <v>14</v>
      </c>
      <c r="AE379" s="468">
        <v>3.0</v>
      </c>
      <c r="AF379" s="173"/>
      <c r="AG379" s="173"/>
      <c r="AH379" s="173"/>
      <c r="AI379" s="173"/>
      <c r="AJ379" s="173"/>
      <c r="AK379" s="173"/>
      <c r="AL379" s="173"/>
      <c r="AM379" s="173"/>
      <c r="AN379" s="173"/>
      <c r="AO379" s="173"/>
      <c r="AP379" s="173"/>
      <c r="AQ379" s="173"/>
      <c r="AR379" s="217"/>
      <c r="AS379" s="218"/>
    </row>
    <row r="380">
      <c r="A380" s="218"/>
      <c r="B380" s="173"/>
      <c r="C380" s="173"/>
      <c r="D380" s="173"/>
      <c r="E380" s="173"/>
      <c r="F380" s="173"/>
      <c r="G380" s="173"/>
      <c r="H380" s="173"/>
      <c r="I380" s="173"/>
      <c r="J380" s="173"/>
      <c r="K380" s="173"/>
      <c r="L380" s="173"/>
      <c r="M380" s="173"/>
      <c r="N380" s="173"/>
      <c r="O380" s="173"/>
      <c r="P380" s="173"/>
      <c r="Q380" s="173"/>
      <c r="R380" s="173"/>
      <c r="S380" s="173"/>
      <c r="T380" s="173"/>
      <c r="U380" s="173"/>
      <c r="V380" s="173"/>
      <c r="W380" s="173"/>
      <c r="X380" s="173"/>
      <c r="Y380" s="173"/>
      <c r="Z380" s="173"/>
      <c r="AA380" s="173"/>
      <c r="AB380" s="173"/>
      <c r="AC380" s="468">
        <v>5.0</v>
      </c>
      <c r="AD380" s="173">
        <f t="shared" si="66"/>
        <v>18</v>
      </c>
      <c r="AE380" s="468">
        <v>4.0</v>
      </c>
      <c r="AF380" s="173"/>
      <c r="AG380" s="173"/>
      <c r="AH380" s="173"/>
      <c r="AI380" s="173"/>
      <c r="AJ380" s="173"/>
      <c r="AK380" s="173"/>
      <c r="AL380" s="173"/>
      <c r="AM380" s="173"/>
      <c r="AN380" s="173"/>
      <c r="AO380" s="173"/>
      <c r="AP380" s="173"/>
      <c r="AQ380" s="173"/>
      <c r="AR380" s="217"/>
      <c r="AS380" s="218"/>
    </row>
    <row r="381">
      <c r="A381" s="218"/>
      <c r="B381" s="173"/>
      <c r="C381" s="173"/>
      <c r="D381" s="173"/>
      <c r="E381" s="173"/>
      <c r="F381" s="173"/>
      <c r="G381" s="173"/>
      <c r="H381" s="173"/>
      <c r="I381" s="173"/>
      <c r="J381" s="173"/>
      <c r="K381" s="173"/>
      <c r="L381" s="173"/>
      <c r="M381" s="173"/>
      <c r="N381" s="173"/>
      <c r="O381" s="173"/>
      <c r="P381" s="173"/>
      <c r="Q381" s="173"/>
      <c r="R381" s="173"/>
      <c r="S381" s="173"/>
      <c r="T381" s="173"/>
      <c r="U381" s="173"/>
      <c r="V381" s="173"/>
      <c r="W381" s="173"/>
      <c r="X381" s="173"/>
      <c r="Y381" s="173"/>
      <c r="Z381" s="173"/>
      <c r="AA381" s="173"/>
      <c r="AB381" s="173"/>
      <c r="AC381" s="468">
        <v>6.0</v>
      </c>
      <c r="AD381" s="173">
        <f t="shared" si="66"/>
        <v>21</v>
      </c>
      <c r="AE381" s="468">
        <v>3.0</v>
      </c>
      <c r="AF381" s="173"/>
      <c r="AG381" s="173"/>
      <c r="AH381" s="173"/>
      <c r="AI381" s="173"/>
      <c r="AJ381" s="173"/>
      <c r="AK381" s="173"/>
      <c r="AL381" s="173"/>
      <c r="AM381" s="173"/>
      <c r="AN381" s="173"/>
      <c r="AO381" s="173"/>
      <c r="AP381" s="173"/>
      <c r="AQ381" s="173"/>
      <c r="AR381" s="217"/>
      <c r="AS381" s="218"/>
    </row>
    <row r="382">
      <c r="A382" s="218"/>
      <c r="B382" s="173"/>
      <c r="C382" s="173"/>
      <c r="D382" s="173"/>
      <c r="E382" s="173"/>
      <c r="F382" s="173"/>
      <c r="G382" s="173"/>
      <c r="H382" s="173"/>
      <c r="I382" s="173"/>
      <c r="J382" s="173"/>
      <c r="K382" s="173"/>
      <c r="L382" s="173"/>
      <c r="M382" s="173"/>
      <c r="N382" s="173"/>
      <c r="O382" s="173"/>
      <c r="P382" s="173"/>
      <c r="Q382" s="173"/>
      <c r="R382" s="173"/>
      <c r="S382" s="173"/>
      <c r="T382" s="173"/>
      <c r="U382" s="173"/>
      <c r="V382" s="173"/>
      <c r="W382" s="173"/>
      <c r="X382" s="173"/>
      <c r="Y382" s="173"/>
      <c r="Z382" s="173"/>
      <c r="AA382" s="173"/>
      <c r="AB382" s="173"/>
      <c r="AC382" s="468">
        <v>7.0</v>
      </c>
      <c r="AD382" s="173">
        <f t="shared" si="66"/>
        <v>25</v>
      </c>
      <c r="AE382" s="468">
        <v>4.0</v>
      </c>
      <c r="AF382" s="173"/>
      <c r="AG382" s="173"/>
      <c r="AH382" s="173"/>
      <c r="AI382" s="173"/>
      <c r="AJ382" s="173"/>
      <c r="AK382" s="173"/>
      <c r="AL382" s="173"/>
      <c r="AM382" s="173"/>
      <c r="AN382" s="173"/>
      <c r="AO382" s="173"/>
      <c r="AP382" s="173"/>
      <c r="AQ382" s="173"/>
      <c r="AR382" s="217"/>
      <c r="AS382" s="218"/>
    </row>
    <row r="383">
      <c r="A383" s="218"/>
      <c r="B383" s="173"/>
      <c r="C383" s="173"/>
      <c r="D383" s="173"/>
      <c r="E383" s="173"/>
      <c r="F383" s="173"/>
      <c r="G383" s="173"/>
      <c r="H383" s="173"/>
      <c r="I383" s="173"/>
      <c r="J383" s="173"/>
      <c r="K383" s="173"/>
      <c r="L383" s="173"/>
      <c r="M383" s="173"/>
      <c r="N383" s="173"/>
      <c r="O383" s="173"/>
      <c r="P383" s="173"/>
      <c r="Q383" s="173"/>
      <c r="R383" s="173"/>
      <c r="S383" s="173"/>
      <c r="T383" s="173"/>
      <c r="U383" s="173"/>
      <c r="V383" s="173"/>
      <c r="W383" s="173"/>
      <c r="X383" s="173"/>
      <c r="Y383" s="173"/>
      <c r="Z383" s="173"/>
      <c r="AA383" s="173"/>
      <c r="AB383" s="173"/>
      <c r="AC383" s="468">
        <v>8.0</v>
      </c>
      <c r="AD383" s="173">
        <f t="shared" si="66"/>
        <v>28</v>
      </c>
      <c r="AE383" s="468">
        <v>3.0</v>
      </c>
      <c r="AF383" s="173"/>
      <c r="AG383" s="173"/>
      <c r="AH383" s="173"/>
      <c r="AI383" s="173"/>
      <c r="AJ383" s="173"/>
      <c r="AK383" s="173"/>
      <c r="AL383" s="173"/>
      <c r="AM383" s="173"/>
      <c r="AN383" s="173"/>
      <c r="AO383" s="173"/>
      <c r="AP383" s="173"/>
      <c r="AQ383" s="173"/>
      <c r="AR383" s="217"/>
      <c r="AS383" s="218"/>
    </row>
    <row r="384">
      <c r="A384" s="218"/>
      <c r="B384" s="173"/>
      <c r="C384" s="173"/>
      <c r="D384" s="173"/>
      <c r="E384" s="173"/>
      <c r="F384" s="173"/>
      <c r="G384" s="173"/>
      <c r="H384" s="173"/>
      <c r="I384" s="173"/>
      <c r="J384" s="173"/>
      <c r="K384" s="173"/>
      <c r="L384" s="173"/>
      <c r="M384" s="173"/>
      <c r="N384" s="173"/>
      <c r="O384" s="173"/>
      <c r="P384" s="173"/>
      <c r="Q384" s="173"/>
      <c r="R384" s="173"/>
      <c r="S384" s="173"/>
      <c r="T384" s="173"/>
      <c r="U384" s="173"/>
      <c r="V384" s="173"/>
      <c r="W384" s="173"/>
      <c r="X384" s="173"/>
      <c r="Y384" s="173"/>
      <c r="Z384" s="173"/>
      <c r="AA384" s="173"/>
      <c r="AB384" s="173"/>
      <c r="AC384" s="468">
        <v>9.0</v>
      </c>
      <c r="AD384" s="173">
        <f t="shared" si="66"/>
        <v>32</v>
      </c>
      <c r="AE384" s="468">
        <v>4.0</v>
      </c>
      <c r="AF384" s="173"/>
      <c r="AG384" s="173"/>
      <c r="AH384" s="173"/>
      <c r="AI384" s="173"/>
      <c r="AJ384" s="173"/>
      <c r="AK384" s="173"/>
      <c r="AL384" s="173"/>
      <c r="AM384" s="173"/>
      <c r="AN384" s="173"/>
      <c r="AO384" s="173"/>
      <c r="AP384" s="173"/>
      <c r="AQ384" s="173"/>
      <c r="AR384" s="217"/>
      <c r="AS384" s="218"/>
    </row>
    <row r="385">
      <c r="A385" s="218"/>
      <c r="B385" s="173"/>
      <c r="C385" s="173"/>
      <c r="D385" s="173"/>
      <c r="E385" s="173"/>
      <c r="F385" s="173"/>
      <c r="G385" s="173"/>
      <c r="H385" s="173"/>
      <c r="I385" s="173"/>
      <c r="J385" s="173"/>
      <c r="K385" s="173"/>
      <c r="L385" s="173"/>
      <c r="M385" s="173"/>
      <c r="N385" s="173"/>
      <c r="O385" s="173"/>
      <c r="P385" s="173"/>
      <c r="Q385" s="173"/>
      <c r="R385" s="173"/>
      <c r="S385" s="173"/>
      <c r="T385" s="173"/>
      <c r="U385" s="173"/>
      <c r="V385" s="173"/>
      <c r="W385" s="173"/>
      <c r="X385" s="173"/>
      <c r="Y385" s="173"/>
      <c r="Z385" s="173"/>
      <c r="AA385" s="173"/>
      <c r="AB385" s="173"/>
      <c r="AC385" s="468">
        <v>10.0</v>
      </c>
      <c r="AD385" s="173">
        <f t="shared" si="66"/>
        <v>35</v>
      </c>
      <c r="AE385" s="468">
        <v>3.0</v>
      </c>
      <c r="AF385" s="173"/>
      <c r="AG385" s="173"/>
      <c r="AH385" s="173"/>
      <c r="AI385" s="173"/>
      <c r="AJ385" s="173"/>
      <c r="AK385" s="173"/>
      <c r="AL385" s="173"/>
      <c r="AM385" s="173"/>
      <c r="AN385" s="173"/>
      <c r="AO385" s="173"/>
      <c r="AP385" s="173"/>
      <c r="AQ385" s="173"/>
      <c r="AR385" s="217"/>
      <c r="AS385" s="218"/>
    </row>
    <row r="386">
      <c r="A386" s="218"/>
      <c r="B386" s="173"/>
      <c r="C386" s="173"/>
      <c r="D386" s="173"/>
      <c r="E386" s="173"/>
      <c r="F386" s="173"/>
      <c r="G386" s="173"/>
      <c r="H386" s="173"/>
      <c r="I386" s="173"/>
      <c r="J386" s="173"/>
      <c r="K386" s="173"/>
      <c r="L386" s="173"/>
      <c r="M386" s="173"/>
      <c r="N386" s="173"/>
      <c r="O386" s="173"/>
      <c r="P386" s="173"/>
      <c r="Q386" s="173"/>
      <c r="R386" s="173"/>
      <c r="S386" s="173"/>
      <c r="T386" s="173"/>
      <c r="U386" s="173"/>
      <c r="V386" s="173"/>
      <c r="W386" s="173"/>
      <c r="X386" s="173"/>
      <c r="Y386" s="173"/>
      <c r="Z386" s="173"/>
      <c r="AA386" s="173"/>
      <c r="AB386" s="173"/>
      <c r="AC386" s="468">
        <v>11.0</v>
      </c>
      <c r="AD386" s="173">
        <f t="shared" si="66"/>
        <v>39</v>
      </c>
      <c r="AE386" s="468">
        <v>4.0</v>
      </c>
      <c r="AF386" s="173"/>
      <c r="AG386" s="173"/>
      <c r="AH386" s="173"/>
      <c r="AI386" s="173"/>
      <c r="AJ386" s="173"/>
      <c r="AK386" s="173"/>
      <c r="AL386" s="173"/>
      <c r="AM386" s="173"/>
      <c r="AN386" s="173"/>
      <c r="AO386" s="173"/>
      <c r="AP386" s="173"/>
      <c r="AQ386" s="173"/>
      <c r="AR386" s="217"/>
      <c r="AS386" s="218"/>
    </row>
    <row r="387">
      <c r="A387" s="218"/>
      <c r="B387" s="173"/>
      <c r="C387" s="173"/>
      <c r="D387" s="173"/>
      <c r="E387" s="173"/>
      <c r="F387" s="173"/>
      <c r="G387" s="173"/>
      <c r="H387" s="173"/>
      <c r="I387" s="173"/>
      <c r="J387" s="173"/>
      <c r="K387" s="173"/>
      <c r="L387" s="173"/>
      <c r="M387" s="173"/>
      <c r="N387" s="173"/>
      <c r="O387" s="173"/>
      <c r="P387" s="173"/>
      <c r="Q387" s="173"/>
      <c r="R387" s="173"/>
      <c r="S387" s="173"/>
      <c r="T387" s="173"/>
      <c r="U387" s="173"/>
      <c r="V387" s="173"/>
      <c r="W387" s="173"/>
      <c r="X387" s="173"/>
      <c r="Y387" s="173"/>
      <c r="Z387" s="173"/>
      <c r="AA387" s="173"/>
      <c r="AB387" s="173"/>
      <c r="AC387" s="468">
        <v>12.0</v>
      </c>
      <c r="AD387" s="173">
        <f t="shared" si="66"/>
        <v>42</v>
      </c>
      <c r="AE387" s="468">
        <v>3.0</v>
      </c>
      <c r="AF387" s="173"/>
      <c r="AG387" s="173"/>
      <c r="AH387" s="173"/>
      <c r="AI387" s="173"/>
      <c r="AJ387" s="173"/>
      <c r="AK387" s="173"/>
      <c r="AL387" s="173"/>
      <c r="AM387" s="173"/>
      <c r="AN387" s="173"/>
      <c r="AO387" s="173"/>
      <c r="AP387" s="173"/>
      <c r="AQ387" s="173"/>
      <c r="AR387" s="217"/>
      <c r="AS387" s="218"/>
    </row>
    <row r="388">
      <c r="A388" s="218"/>
      <c r="B388" s="173"/>
      <c r="C388" s="173"/>
      <c r="D388" s="173"/>
      <c r="E388" s="173"/>
      <c r="F388" s="173"/>
      <c r="G388" s="173"/>
      <c r="H388" s="173"/>
      <c r="I388" s="173"/>
      <c r="J388" s="173"/>
      <c r="K388" s="173"/>
      <c r="L388" s="173"/>
      <c r="M388" s="173"/>
      <c r="N388" s="173"/>
      <c r="O388" s="173"/>
      <c r="P388" s="173"/>
      <c r="Q388" s="173"/>
      <c r="R388" s="173"/>
      <c r="S388" s="173"/>
      <c r="T388" s="173"/>
      <c r="U388" s="173"/>
      <c r="V388" s="173"/>
      <c r="W388" s="173"/>
      <c r="X388" s="173"/>
      <c r="Y388" s="173"/>
      <c r="Z388" s="173"/>
      <c r="AA388" s="173"/>
      <c r="AB388" s="173"/>
      <c r="AC388" s="468">
        <v>13.0</v>
      </c>
      <c r="AD388" s="173">
        <f t="shared" si="66"/>
        <v>46</v>
      </c>
      <c r="AE388" s="468">
        <v>4.0</v>
      </c>
      <c r="AF388" s="173"/>
      <c r="AG388" s="173"/>
      <c r="AH388" s="173"/>
      <c r="AI388" s="173"/>
      <c r="AJ388" s="173"/>
      <c r="AK388" s="173"/>
      <c r="AL388" s="173"/>
      <c r="AM388" s="173"/>
      <c r="AN388" s="173"/>
      <c r="AO388" s="173"/>
      <c r="AP388" s="173"/>
      <c r="AQ388" s="173"/>
      <c r="AR388" s="217"/>
      <c r="AS388" s="218"/>
    </row>
    <row r="389">
      <c r="A389" s="218"/>
      <c r="B389" s="173"/>
      <c r="C389" s="173"/>
      <c r="D389" s="173"/>
      <c r="E389" s="173"/>
      <c r="F389" s="173"/>
      <c r="G389" s="173"/>
      <c r="H389" s="173"/>
      <c r="I389" s="173"/>
      <c r="J389" s="173"/>
      <c r="K389" s="173"/>
      <c r="L389" s="173"/>
      <c r="M389" s="173"/>
      <c r="N389" s="173"/>
      <c r="O389" s="173"/>
      <c r="P389" s="173"/>
      <c r="Q389" s="173"/>
      <c r="R389" s="173"/>
      <c r="S389" s="173"/>
      <c r="T389" s="173"/>
      <c r="U389" s="173"/>
      <c r="V389" s="173"/>
      <c r="W389" s="173"/>
      <c r="X389" s="173"/>
      <c r="Y389" s="173"/>
      <c r="Z389" s="173"/>
      <c r="AA389" s="173"/>
      <c r="AB389" s="173"/>
      <c r="AC389" s="468">
        <v>14.0</v>
      </c>
      <c r="AD389" s="173">
        <f t="shared" si="66"/>
        <v>49</v>
      </c>
      <c r="AE389" s="468">
        <v>3.0</v>
      </c>
      <c r="AF389" s="173"/>
      <c r="AG389" s="173"/>
      <c r="AH389" s="173"/>
      <c r="AI389" s="173"/>
      <c r="AJ389" s="173"/>
      <c r="AK389" s="173"/>
      <c r="AL389" s="173"/>
      <c r="AM389" s="173"/>
      <c r="AN389" s="173"/>
      <c r="AO389" s="173"/>
      <c r="AP389" s="173"/>
      <c r="AQ389" s="173"/>
      <c r="AR389" s="217"/>
      <c r="AS389" s="218"/>
    </row>
    <row r="390">
      <c r="A390" s="218"/>
      <c r="B390" s="173"/>
      <c r="C390" s="173"/>
      <c r="D390" s="173"/>
      <c r="E390" s="173"/>
      <c r="F390" s="173"/>
      <c r="G390" s="173"/>
      <c r="H390" s="173"/>
      <c r="I390" s="173"/>
      <c r="J390" s="173"/>
      <c r="K390" s="173"/>
      <c r="L390" s="173"/>
      <c r="M390" s="173"/>
      <c r="N390" s="173"/>
      <c r="O390" s="173"/>
      <c r="P390" s="173"/>
      <c r="Q390" s="173"/>
      <c r="R390" s="173"/>
      <c r="S390" s="173"/>
      <c r="T390" s="173"/>
      <c r="U390" s="173"/>
      <c r="V390" s="173"/>
      <c r="W390" s="173"/>
      <c r="X390" s="173"/>
      <c r="Y390" s="173"/>
      <c r="Z390" s="173"/>
      <c r="AA390" s="173"/>
      <c r="AB390" s="173"/>
      <c r="AC390" s="468">
        <v>15.0</v>
      </c>
      <c r="AD390" s="173">
        <f t="shared" si="66"/>
        <v>53</v>
      </c>
      <c r="AE390" s="468">
        <v>4.0</v>
      </c>
      <c r="AF390" s="173"/>
      <c r="AG390" s="173"/>
      <c r="AH390" s="173"/>
      <c r="AI390" s="173"/>
      <c r="AJ390" s="173"/>
      <c r="AK390" s="173"/>
      <c r="AL390" s="173"/>
      <c r="AM390" s="173"/>
      <c r="AN390" s="173"/>
      <c r="AO390" s="173"/>
      <c r="AP390" s="173"/>
      <c r="AQ390" s="173"/>
      <c r="AR390" s="217"/>
      <c r="AS390" s="218"/>
    </row>
    <row r="391">
      <c r="A391" s="218"/>
      <c r="B391" s="173"/>
      <c r="C391" s="173"/>
      <c r="D391" s="173"/>
      <c r="E391" s="173"/>
      <c r="F391" s="173"/>
      <c r="G391" s="173"/>
      <c r="H391" s="173"/>
      <c r="I391" s="173"/>
      <c r="J391" s="173"/>
      <c r="K391" s="173"/>
      <c r="L391" s="173"/>
      <c r="M391" s="173"/>
      <c r="N391" s="173"/>
      <c r="O391" s="173"/>
      <c r="P391" s="173"/>
      <c r="Q391" s="173"/>
      <c r="R391" s="173"/>
      <c r="S391" s="173"/>
      <c r="T391" s="173"/>
      <c r="U391" s="173"/>
      <c r="V391" s="173"/>
      <c r="W391" s="173"/>
      <c r="X391" s="173"/>
      <c r="Y391" s="173"/>
      <c r="Z391" s="173"/>
      <c r="AA391" s="173"/>
      <c r="AB391" s="173"/>
      <c r="AC391" s="468">
        <v>16.0</v>
      </c>
      <c r="AD391" s="173">
        <f t="shared" si="66"/>
        <v>56</v>
      </c>
      <c r="AE391" s="468">
        <v>3.0</v>
      </c>
      <c r="AF391" s="173"/>
      <c r="AG391" s="173"/>
      <c r="AH391" s="173"/>
      <c r="AI391" s="173"/>
      <c r="AJ391" s="173"/>
      <c r="AK391" s="173"/>
      <c r="AL391" s="173"/>
      <c r="AM391" s="173"/>
      <c r="AN391" s="173"/>
      <c r="AO391" s="173"/>
      <c r="AP391" s="173"/>
      <c r="AQ391" s="173"/>
      <c r="AR391" s="217"/>
      <c r="AS391" s="218"/>
    </row>
    <row r="392">
      <c r="A392" s="218"/>
      <c r="B392" s="173"/>
      <c r="C392" s="173"/>
      <c r="D392" s="173"/>
      <c r="E392" s="173"/>
      <c r="F392" s="173"/>
      <c r="G392" s="173"/>
      <c r="H392" s="173"/>
      <c r="I392" s="173"/>
      <c r="J392" s="173"/>
      <c r="K392" s="173"/>
      <c r="L392" s="173"/>
      <c r="M392" s="173"/>
      <c r="N392" s="173"/>
      <c r="O392" s="173"/>
      <c r="P392" s="173"/>
      <c r="Q392" s="173"/>
      <c r="R392" s="173"/>
      <c r="S392" s="173"/>
      <c r="T392" s="173"/>
      <c r="U392" s="173"/>
      <c r="V392" s="173"/>
      <c r="W392" s="173"/>
      <c r="X392" s="173"/>
      <c r="Y392" s="173"/>
      <c r="Z392" s="173"/>
      <c r="AA392" s="173"/>
      <c r="AB392" s="173"/>
      <c r="AC392" s="468">
        <v>17.0</v>
      </c>
      <c r="AD392" s="173">
        <f t="shared" si="66"/>
        <v>60</v>
      </c>
      <c r="AE392" s="468">
        <v>4.0</v>
      </c>
      <c r="AF392" s="173"/>
      <c r="AG392" s="173"/>
      <c r="AH392" s="173"/>
      <c r="AI392" s="173"/>
      <c r="AJ392" s="173"/>
      <c r="AK392" s="173"/>
      <c r="AL392" s="173"/>
      <c r="AM392" s="173"/>
      <c r="AN392" s="173"/>
      <c r="AO392" s="173"/>
      <c r="AP392" s="173"/>
      <c r="AQ392" s="173"/>
      <c r="AR392" s="217"/>
      <c r="AS392" s="218"/>
    </row>
    <row r="393">
      <c r="A393" s="218"/>
      <c r="B393" s="173"/>
      <c r="C393" s="173"/>
      <c r="D393" s="173"/>
      <c r="E393" s="173"/>
      <c r="F393" s="173"/>
      <c r="G393" s="173"/>
      <c r="H393" s="173"/>
      <c r="I393" s="173"/>
      <c r="J393" s="173"/>
      <c r="K393" s="173"/>
      <c r="L393" s="173"/>
      <c r="M393" s="173"/>
      <c r="N393" s="173"/>
      <c r="O393" s="173"/>
      <c r="P393" s="173"/>
      <c r="Q393" s="173"/>
      <c r="R393" s="173"/>
      <c r="S393" s="173"/>
      <c r="T393" s="173"/>
      <c r="U393" s="173"/>
      <c r="V393" s="173"/>
      <c r="W393" s="173"/>
      <c r="X393" s="173"/>
      <c r="Y393" s="173"/>
      <c r="Z393" s="173"/>
      <c r="AA393" s="173"/>
      <c r="AB393" s="173"/>
      <c r="AC393" s="468">
        <v>18.0</v>
      </c>
      <c r="AD393" s="173">
        <f t="shared" si="66"/>
        <v>63</v>
      </c>
      <c r="AE393" s="468">
        <v>3.0</v>
      </c>
      <c r="AF393" s="173"/>
      <c r="AG393" s="173"/>
      <c r="AH393" s="173"/>
      <c r="AI393" s="173"/>
      <c r="AJ393" s="173"/>
      <c r="AK393" s="173"/>
      <c r="AL393" s="173"/>
      <c r="AM393" s="173"/>
      <c r="AN393" s="173"/>
      <c r="AO393" s="173"/>
      <c r="AP393" s="173"/>
      <c r="AQ393" s="173"/>
      <c r="AR393" s="217"/>
      <c r="AS393" s="218"/>
    </row>
    <row r="394">
      <c r="A394" s="218"/>
      <c r="B394" s="173"/>
      <c r="C394" s="173"/>
      <c r="D394" s="173"/>
      <c r="E394" s="173"/>
      <c r="F394" s="173"/>
      <c r="G394" s="173"/>
      <c r="H394" s="173"/>
      <c r="I394" s="173"/>
      <c r="J394" s="173"/>
      <c r="K394" s="173"/>
      <c r="L394" s="173"/>
      <c r="M394" s="173"/>
      <c r="N394" s="173"/>
      <c r="O394" s="173"/>
      <c r="P394" s="173"/>
      <c r="Q394" s="173"/>
      <c r="R394" s="173"/>
      <c r="S394" s="173"/>
      <c r="T394" s="173"/>
      <c r="U394" s="173"/>
      <c r="V394" s="173"/>
      <c r="W394" s="173"/>
      <c r="X394" s="173"/>
      <c r="Y394" s="173"/>
      <c r="Z394" s="173"/>
      <c r="AA394" s="173"/>
      <c r="AB394" s="173"/>
      <c r="AC394" s="468">
        <v>19.0</v>
      </c>
      <c r="AD394" s="173">
        <f t="shared" si="66"/>
        <v>67</v>
      </c>
      <c r="AE394" s="468">
        <v>4.0</v>
      </c>
      <c r="AF394" s="173"/>
      <c r="AG394" s="173"/>
      <c r="AH394" s="173"/>
      <c r="AI394" s="173"/>
      <c r="AJ394" s="173"/>
      <c r="AK394" s="173"/>
      <c r="AL394" s="173"/>
      <c r="AM394" s="173"/>
      <c r="AN394" s="173"/>
      <c r="AO394" s="173"/>
      <c r="AP394" s="173"/>
      <c r="AQ394" s="173"/>
      <c r="AR394" s="217"/>
      <c r="AS394" s="218"/>
    </row>
    <row r="395">
      <c r="A395" s="218"/>
      <c r="B395" s="173"/>
      <c r="C395" s="173"/>
      <c r="D395" s="173"/>
      <c r="E395" s="173"/>
      <c r="F395" s="173"/>
      <c r="G395" s="173"/>
      <c r="H395" s="173"/>
      <c r="I395" s="173"/>
      <c r="J395" s="173"/>
      <c r="K395" s="173"/>
      <c r="L395" s="173"/>
      <c r="M395" s="173"/>
      <c r="N395" s="173"/>
      <c r="O395" s="173"/>
      <c r="P395" s="173"/>
      <c r="Q395" s="173"/>
      <c r="R395" s="173"/>
      <c r="S395" s="173"/>
      <c r="T395" s="173"/>
      <c r="U395" s="173"/>
      <c r="V395" s="173"/>
      <c r="W395" s="173"/>
      <c r="X395" s="173"/>
      <c r="Y395" s="173"/>
      <c r="Z395" s="173"/>
      <c r="AA395" s="173"/>
      <c r="AB395" s="173"/>
      <c r="AC395" s="468">
        <v>20.0</v>
      </c>
      <c r="AD395" s="173">
        <f t="shared" si="66"/>
        <v>70</v>
      </c>
      <c r="AE395" s="468">
        <v>3.0</v>
      </c>
      <c r="AF395" s="173"/>
      <c r="AG395" s="173"/>
      <c r="AH395" s="173"/>
      <c r="AI395" s="173"/>
      <c r="AJ395" s="173"/>
      <c r="AK395" s="173"/>
      <c r="AL395" s="173"/>
      <c r="AM395" s="173"/>
      <c r="AN395" s="173"/>
      <c r="AO395" s="173"/>
      <c r="AP395" s="173"/>
      <c r="AQ395" s="173"/>
      <c r="AR395" s="217"/>
      <c r="AS395" s="218"/>
    </row>
    <row r="396">
      <c r="A396" s="218"/>
      <c r="B396" s="173"/>
      <c r="C396" s="173"/>
      <c r="D396" s="173"/>
      <c r="E396" s="173"/>
      <c r="F396" s="173"/>
      <c r="G396" s="173"/>
      <c r="H396" s="173"/>
      <c r="I396" s="173"/>
      <c r="J396" s="173"/>
      <c r="K396" s="173"/>
      <c r="L396" s="173"/>
      <c r="M396" s="173"/>
      <c r="N396" s="173"/>
      <c r="O396" s="173"/>
      <c r="P396" s="173"/>
      <c r="Q396" s="173"/>
      <c r="R396" s="173"/>
      <c r="S396" s="173"/>
      <c r="T396" s="173"/>
      <c r="U396" s="173"/>
      <c r="V396" s="173"/>
      <c r="W396" s="173"/>
      <c r="X396" s="173"/>
      <c r="Y396" s="173"/>
      <c r="Z396" s="173"/>
      <c r="AA396" s="173"/>
      <c r="AB396" s="173"/>
      <c r="AC396" s="468">
        <v>21.0</v>
      </c>
      <c r="AD396" s="173">
        <f t="shared" si="66"/>
        <v>74</v>
      </c>
      <c r="AE396" s="468">
        <v>4.0</v>
      </c>
      <c r="AF396" s="173"/>
      <c r="AG396" s="173"/>
      <c r="AH396" s="173"/>
      <c r="AI396" s="173"/>
      <c r="AJ396" s="173"/>
      <c r="AK396" s="173"/>
      <c r="AL396" s="173"/>
      <c r="AM396" s="173"/>
      <c r="AN396" s="173"/>
      <c r="AO396" s="173"/>
      <c r="AP396" s="173"/>
      <c r="AQ396" s="173"/>
      <c r="AR396" s="217"/>
      <c r="AS396" s="218"/>
    </row>
    <row r="397">
      <c r="A397" s="218"/>
      <c r="B397" s="173"/>
      <c r="C397" s="173"/>
      <c r="D397" s="173"/>
      <c r="E397" s="173"/>
      <c r="F397" s="173"/>
      <c r="G397" s="173"/>
      <c r="H397" s="173"/>
      <c r="I397" s="173"/>
      <c r="J397" s="173"/>
      <c r="K397" s="173"/>
      <c r="L397" s="173"/>
      <c r="M397" s="173"/>
      <c r="N397" s="173"/>
      <c r="O397" s="173"/>
      <c r="P397" s="173"/>
      <c r="Q397" s="173"/>
      <c r="R397" s="173"/>
      <c r="S397" s="173"/>
      <c r="T397" s="173"/>
      <c r="U397" s="173"/>
      <c r="V397" s="173"/>
      <c r="W397" s="173"/>
      <c r="X397" s="173"/>
      <c r="Y397" s="173"/>
      <c r="Z397" s="173"/>
      <c r="AA397" s="173"/>
      <c r="AB397" s="173"/>
      <c r="AC397" s="468">
        <v>22.0</v>
      </c>
      <c r="AD397" s="173">
        <f t="shared" si="66"/>
        <v>77</v>
      </c>
      <c r="AE397" s="468">
        <v>3.0</v>
      </c>
      <c r="AF397" s="173"/>
      <c r="AG397" s="173"/>
      <c r="AH397" s="173"/>
      <c r="AI397" s="173"/>
      <c r="AJ397" s="173"/>
      <c r="AK397" s="173"/>
      <c r="AL397" s="173"/>
      <c r="AM397" s="173"/>
      <c r="AN397" s="173"/>
      <c r="AO397" s="173"/>
      <c r="AP397" s="173"/>
      <c r="AQ397" s="173"/>
      <c r="AR397" s="217"/>
      <c r="AS397" s="218"/>
    </row>
    <row r="398">
      <c r="A398" s="218"/>
      <c r="B398" s="173"/>
      <c r="C398" s="173"/>
      <c r="D398" s="173"/>
      <c r="E398" s="173"/>
      <c r="F398" s="173"/>
      <c r="G398" s="173"/>
      <c r="H398" s="173"/>
      <c r="I398" s="173"/>
      <c r="J398" s="173"/>
      <c r="K398" s="173"/>
      <c r="L398" s="173"/>
      <c r="M398" s="173"/>
      <c r="N398" s="173"/>
      <c r="O398" s="173"/>
      <c r="P398" s="173"/>
      <c r="Q398" s="173"/>
      <c r="R398" s="173"/>
      <c r="S398" s="173"/>
      <c r="T398" s="173"/>
      <c r="U398" s="173"/>
      <c r="V398" s="173"/>
      <c r="W398" s="173"/>
      <c r="X398" s="173"/>
      <c r="Y398" s="173"/>
      <c r="Z398" s="173"/>
      <c r="AA398" s="173"/>
      <c r="AB398" s="173"/>
      <c r="AC398" s="468">
        <v>23.0</v>
      </c>
      <c r="AD398" s="173">
        <f t="shared" si="66"/>
        <v>81</v>
      </c>
      <c r="AE398" s="468">
        <v>4.0</v>
      </c>
      <c r="AF398" s="173"/>
      <c r="AG398" s="173"/>
      <c r="AH398" s="173"/>
      <c r="AI398" s="173"/>
      <c r="AJ398" s="173"/>
      <c r="AK398" s="173"/>
      <c r="AL398" s="173"/>
      <c r="AM398" s="173"/>
      <c r="AN398" s="173"/>
      <c r="AO398" s="173"/>
      <c r="AP398" s="173"/>
      <c r="AQ398" s="173"/>
      <c r="AR398" s="217"/>
      <c r="AS398" s="218"/>
    </row>
    <row r="399">
      <c r="A399" s="218"/>
      <c r="B399" s="173"/>
      <c r="C399" s="173"/>
      <c r="D399" s="173"/>
      <c r="E399" s="173"/>
      <c r="F399" s="173"/>
      <c r="G399" s="173"/>
      <c r="H399" s="173"/>
      <c r="I399" s="173"/>
      <c r="J399" s="173"/>
      <c r="K399" s="173"/>
      <c r="L399" s="173"/>
      <c r="M399" s="173"/>
      <c r="N399" s="173"/>
      <c r="O399" s="173"/>
      <c r="P399" s="173"/>
      <c r="Q399" s="173"/>
      <c r="R399" s="173"/>
      <c r="S399" s="173"/>
      <c r="T399" s="173"/>
      <c r="U399" s="173"/>
      <c r="V399" s="173"/>
      <c r="W399" s="173"/>
      <c r="X399" s="173"/>
      <c r="Y399" s="173"/>
      <c r="Z399" s="173"/>
      <c r="AA399" s="173"/>
      <c r="AB399" s="173"/>
      <c r="AC399" s="468">
        <v>24.0</v>
      </c>
      <c r="AD399" s="173">
        <f t="shared" si="66"/>
        <v>84</v>
      </c>
      <c r="AE399" s="468">
        <v>3.0</v>
      </c>
      <c r="AF399" s="173"/>
      <c r="AG399" s="173"/>
      <c r="AH399" s="173"/>
      <c r="AI399" s="173"/>
      <c r="AJ399" s="173"/>
      <c r="AK399" s="173"/>
      <c r="AL399" s="173"/>
      <c r="AM399" s="173"/>
      <c r="AN399" s="173"/>
      <c r="AO399" s="173"/>
      <c r="AP399" s="173"/>
      <c r="AQ399" s="173"/>
      <c r="AR399" s="217"/>
      <c r="AS399" s="218"/>
    </row>
    <row r="400">
      <c r="A400" s="218"/>
      <c r="B400" s="173"/>
      <c r="C400" s="173"/>
      <c r="D400" s="173"/>
      <c r="E400" s="173"/>
      <c r="F400" s="173"/>
      <c r="G400" s="173"/>
      <c r="H400" s="173"/>
      <c r="I400" s="173"/>
      <c r="J400" s="173"/>
      <c r="K400" s="173"/>
      <c r="L400" s="173"/>
      <c r="M400" s="173"/>
      <c r="N400" s="173"/>
      <c r="O400" s="173"/>
      <c r="P400" s="173"/>
      <c r="Q400" s="173"/>
      <c r="R400" s="173"/>
      <c r="S400" s="173"/>
      <c r="T400" s="173"/>
      <c r="U400" s="173"/>
      <c r="V400" s="173"/>
      <c r="W400" s="173"/>
      <c r="X400" s="173"/>
      <c r="Y400" s="173"/>
      <c r="Z400" s="173"/>
      <c r="AA400" s="173"/>
      <c r="AB400" s="173"/>
      <c r="AC400" s="468">
        <v>25.0</v>
      </c>
      <c r="AD400" s="173">
        <f t="shared" si="66"/>
        <v>88</v>
      </c>
      <c r="AE400" s="468">
        <v>4.0</v>
      </c>
      <c r="AF400" s="173"/>
      <c r="AG400" s="173"/>
      <c r="AH400" s="173"/>
      <c r="AI400" s="173"/>
      <c r="AJ400" s="173"/>
      <c r="AK400" s="173"/>
      <c r="AL400" s="173"/>
      <c r="AM400" s="173"/>
      <c r="AN400" s="173"/>
      <c r="AO400" s="173"/>
      <c r="AP400" s="173"/>
      <c r="AQ400" s="173"/>
      <c r="AR400" s="217"/>
      <c r="AS400" s="218"/>
    </row>
    <row r="401">
      <c r="A401" s="218"/>
      <c r="B401" s="173"/>
      <c r="C401" s="173"/>
      <c r="D401" s="173"/>
      <c r="E401" s="173"/>
      <c r="F401" s="173"/>
      <c r="G401" s="173"/>
      <c r="H401" s="173"/>
      <c r="I401" s="173"/>
      <c r="J401" s="173"/>
      <c r="K401" s="173"/>
      <c r="L401" s="173"/>
      <c r="M401" s="173"/>
      <c r="N401" s="173"/>
      <c r="O401" s="173"/>
      <c r="P401" s="173"/>
      <c r="Q401" s="173"/>
      <c r="R401" s="173"/>
      <c r="S401" s="173"/>
      <c r="T401" s="173"/>
      <c r="U401" s="173"/>
      <c r="V401" s="173"/>
      <c r="W401" s="173"/>
      <c r="X401" s="173"/>
      <c r="Y401" s="173"/>
      <c r="Z401" s="173"/>
      <c r="AA401" s="173"/>
      <c r="AB401" s="173"/>
      <c r="AC401" s="468">
        <v>26.0</v>
      </c>
      <c r="AD401" s="173">
        <f t="shared" si="66"/>
        <v>91</v>
      </c>
      <c r="AE401" s="468">
        <v>3.0</v>
      </c>
      <c r="AF401" s="173"/>
      <c r="AG401" s="173"/>
      <c r="AH401" s="173"/>
      <c r="AI401" s="173"/>
      <c r="AJ401" s="173"/>
      <c r="AK401" s="173"/>
      <c r="AL401" s="173"/>
      <c r="AM401" s="173"/>
      <c r="AN401" s="173"/>
      <c r="AO401" s="173"/>
      <c r="AP401" s="173"/>
      <c r="AQ401" s="173"/>
      <c r="AR401" s="217"/>
      <c r="AS401" s="218"/>
    </row>
    <row r="402">
      <c r="A402" s="218"/>
      <c r="B402" s="173"/>
      <c r="C402" s="173"/>
      <c r="D402" s="173"/>
      <c r="E402" s="173"/>
      <c r="F402" s="173"/>
      <c r="G402" s="173"/>
      <c r="H402" s="173"/>
      <c r="I402" s="173"/>
      <c r="J402" s="173"/>
      <c r="K402" s="173"/>
      <c r="L402" s="173"/>
      <c r="M402" s="173"/>
      <c r="N402" s="173"/>
      <c r="O402" s="173"/>
      <c r="P402" s="173"/>
      <c r="Q402" s="173"/>
      <c r="R402" s="173"/>
      <c r="S402" s="173"/>
      <c r="T402" s="173"/>
      <c r="U402" s="173"/>
      <c r="V402" s="173"/>
      <c r="W402" s="173"/>
      <c r="X402" s="173"/>
      <c r="Y402" s="173"/>
      <c r="Z402" s="173"/>
      <c r="AA402" s="173"/>
      <c r="AB402" s="173"/>
      <c r="AC402" s="468">
        <v>27.0</v>
      </c>
      <c r="AD402" s="173">
        <f t="shared" si="66"/>
        <v>95</v>
      </c>
      <c r="AE402" s="468">
        <v>4.0</v>
      </c>
      <c r="AF402" s="173"/>
      <c r="AG402" s="173"/>
      <c r="AH402" s="173"/>
      <c r="AI402" s="173"/>
      <c r="AJ402" s="173"/>
      <c r="AK402" s="173"/>
      <c r="AL402" s="173"/>
      <c r="AM402" s="173"/>
      <c r="AN402" s="173"/>
      <c r="AO402" s="173"/>
      <c r="AP402" s="173"/>
      <c r="AQ402" s="173"/>
      <c r="AR402" s="217"/>
      <c r="AS402" s="218"/>
    </row>
    <row r="403">
      <c r="A403" s="218"/>
      <c r="B403" s="173"/>
      <c r="C403" s="173"/>
      <c r="D403" s="173"/>
      <c r="E403" s="173"/>
      <c r="F403" s="173"/>
      <c r="G403" s="173"/>
      <c r="H403" s="173"/>
      <c r="I403" s="173"/>
      <c r="J403" s="173"/>
      <c r="K403" s="173"/>
      <c r="L403" s="173"/>
      <c r="M403" s="173"/>
      <c r="N403" s="173"/>
      <c r="O403" s="173"/>
      <c r="P403" s="173"/>
      <c r="Q403" s="173"/>
      <c r="R403" s="173"/>
      <c r="S403" s="173"/>
      <c r="T403" s="173"/>
      <c r="U403" s="173"/>
      <c r="V403" s="173"/>
      <c r="W403" s="173"/>
      <c r="X403" s="173"/>
      <c r="Y403" s="173"/>
      <c r="Z403" s="173"/>
      <c r="AA403" s="173"/>
      <c r="AB403" s="173"/>
      <c r="AC403" s="468">
        <v>28.0</v>
      </c>
      <c r="AD403" s="173">
        <f t="shared" si="66"/>
        <v>98</v>
      </c>
      <c r="AE403" s="468">
        <v>3.0</v>
      </c>
      <c r="AF403" s="173"/>
      <c r="AG403" s="173"/>
      <c r="AH403" s="173"/>
      <c r="AI403" s="173"/>
      <c r="AJ403" s="173"/>
      <c r="AK403" s="173"/>
      <c r="AL403" s="173"/>
      <c r="AM403" s="173"/>
      <c r="AN403" s="173"/>
      <c r="AO403" s="173"/>
      <c r="AP403" s="173"/>
      <c r="AQ403" s="173"/>
      <c r="AR403" s="217"/>
      <c r="AS403" s="218"/>
    </row>
    <row r="404">
      <c r="A404" s="218"/>
      <c r="B404" s="173"/>
      <c r="C404" s="173"/>
      <c r="D404" s="173"/>
      <c r="E404" s="173"/>
      <c r="F404" s="173"/>
      <c r="G404" s="173"/>
      <c r="H404" s="173"/>
      <c r="I404" s="173"/>
      <c r="J404" s="173"/>
      <c r="K404" s="173"/>
      <c r="L404" s="173"/>
      <c r="M404" s="173"/>
      <c r="N404" s="173"/>
      <c r="O404" s="173"/>
      <c r="P404" s="173"/>
      <c r="Q404" s="173"/>
      <c r="R404" s="173"/>
      <c r="S404" s="173"/>
      <c r="T404" s="173"/>
      <c r="U404" s="173"/>
      <c r="V404" s="173"/>
      <c r="W404" s="173"/>
      <c r="X404" s="173"/>
      <c r="Y404" s="173"/>
      <c r="Z404" s="173"/>
      <c r="AA404" s="173"/>
      <c r="AB404" s="173"/>
      <c r="AC404" s="468">
        <v>29.0</v>
      </c>
      <c r="AD404" s="173">
        <f t="shared" si="66"/>
        <v>102</v>
      </c>
      <c r="AE404" s="468">
        <v>4.0</v>
      </c>
      <c r="AF404" s="173"/>
      <c r="AG404" s="173"/>
      <c r="AH404" s="173"/>
      <c r="AI404" s="173"/>
      <c r="AJ404" s="173"/>
      <c r="AK404" s="173"/>
      <c r="AL404" s="173"/>
      <c r="AM404" s="173"/>
      <c r="AN404" s="173"/>
      <c r="AO404" s="173"/>
      <c r="AP404" s="173"/>
      <c r="AQ404" s="173"/>
      <c r="AR404" s="217"/>
      <c r="AS404" s="218"/>
    </row>
    <row r="405">
      <c r="A405" s="218"/>
      <c r="B405" s="173"/>
      <c r="C405" s="173"/>
      <c r="D405" s="173"/>
      <c r="E405" s="173"/>
      <c r="F405" s="173"/>
      <c r="G405" s="173"/>
      <c r="H405" s="173"/>
      <c r="I405" s="173"/>
      <c r="J405" s="173"/>
      <c r="K405" s="173"/>
      <c r="L405" s="173"/>
      <c r="M405" s="173"/>
      <c r="N405" s="173"/>
      <c r="O405" s="173"/>
      <c r="P405" s="173"/>
      <c r="Q405" s="173"/>
      <c r="R405" s="173"/>
      <c r="S405" s="173"/>
      <c r="T405" s="173"/>
      <c r="U405" s="173"/>
      <c r="V405" s="173"/>
      <c r="W405" s="173"/>
      <c r="X405" s="173"/>
      <c r="Y405" s="173"/>
      <c r="Z405" s="173"/>
      <c r="AA405" s="173"/>
      <c r="AB405" s="173"/>
      <c r="AC405" s="468">
        <v>30.0</v>
      </c>
      <c r="AD405" s="173">
        <f t="shared" si="66"/>
        <v>105</v>
      </c>
      <c r="AE405" s="468">
        <v>3.0</v>
      </c>
      <c r="AF405" s="173"/>
      <c r="AG405" s="173"/>
      <c r="AH405" s="173"/>
      <c r="AI405" s="173"/>
      <c r="AJ405" s="173"/>
      <c r="AK405" s="173"/>
      <c r="AL405" s="173"/>
      <c r="AM405" s="173"/>
      <c r="AN405" s="173"/>
      <c r="AO405" s="173"/>
      <c r="AP405" s="173"/>
      <c r="AQ405" s="173"/>
      <c r="AR405" s="217"/>
      <c r="AS405" s="218"/>
    </row>
    <row r="406">
      <c r="A406" s="218"/>
      <c r="B406" s="173"/>
      <c r="C406" s="173"/>
      <c r="D406" s="173"/>
      <c r="E406" s="173"/>
      <c r="F406" s="173"/>
      <c r="G406" s="173"/>
      <c r="H406" s="173"/>
      <c r="I406" s="173"/>
      <c r="J406" s="173"/>
      <c r="K406" s="173"/>
      <c r="L406" s="173"/>
      <c r="M406" s="173"/>
      <c r="N406" s="173"/>
      <c r="O406" s="173"/>
      <c r="P406" s="173"/>
      <c r="Q406" s="173"/>
      <c r="R406" s="173"/>
      <c r="S406" s="173"/>
      <c r="T406" s="173"/>
      <c r="U406" s="173"/>
      <c r="V406" s="173"/>
      <c r="W406" s="173"/>
      <c r="X406" s="173"/>
      <c r="Y406" s="173"/>
      <c r="Z406" s="173"/>
      <c r="AA406" s="173"/>
      <c r="AB406" s="173"/>
      <c r="AC406" s="468">
        <v>31.0</v>
      </c>
      <c r="AD406" s="173">
        <f t="shared" si="66"/>
        <v>109</v>
      </c>
      <c r="AE406" s="468">
        <v>4.0</v>
      </c>
      <c r="AF406" s="173"/>
      <c r="AG406" s="173"/>
      <c r="AH406" s="173"/>
      <c r="AI406" s="173"/>
      <c r="AJ406" s="173"/>
      <c r="AK406" s="173"/>
      <c r="AL406" s="173"/>
      <c r="AM406" s="173"/>
      <c r="AN406" s="173"/>
      <c r="AO406" s="173"/>
      <c r="AP406" s="173"/>
      <c r="AQ406" s="173"/>
      <c r="AR406" s="217"/>
      <c r="AS406" s="218"/>
    </row>
    <row r="407">
      <c r="A407" s="218"/>
      <c r="B407" s="173"/>
      <c r="C407" s="173"/>
      <c r="D407" s="173"/>
      <c r="E407" s="173"/>
      <c r="F407" s="173"/>
      <c r="G407" s="173"/>
      <c r="H407" s="173"/>
      <c r="I407" s="173"/>
      <c r="J407" s="173"/>
      <c r="K407" s="173"/>
      <c r="L407" s="173"/>
      <c r="M407" s="173"/>
      <c r="N407" s="173"/>
      <c r="O407" s="173"/>
      <c r="P407" s="173"/>
      <c r="Q407" s="173"/>
      <c r="R407" s="173"/>
      <c r="S407" s="173"/>
      <c r="T407" s="173"/>
      <c r="U407" s="173"/>
      <c r="V407" s="173"/>
      <c r="W407" s="173"/>
      <c r="X407" s="173"/>
      <c r="Y407" s="173"/>
      <c r="Z407" s="173"/>
      <c r="AA407" s="173"/>
      <c r="AB407" s="173"/>
      <c r="AC407" s="468">
        <v>32.0</v>
      </c>
      <c r="AD407" s="173">
        <f t="shared" si="66"/>
        <v>112</v>
      </c>
      <c r="AE407" s="468">
        <v>3.0</v>
      </c>
      <c r="AF407" s="173"/>
      <c r="AG407" s="173"/>
      <c r="AH407" s="173"/>
      <c r="AI407" s="173"/>
      <c r="AJ407" s="173"/>
      <c r="AK407" s="173"/>
      <c r="AL407" s="173"/>
      <c r="AM407" s="173"/>
      <c r="AN407" s="173"/>
      <c r="AO407" s="173"/>
      <c r="AP407" s="173"/>
      <c r="AQ407" s="173"/>
      <c r="AR407" s="217"/>
      <c r="AS407" s="218"/>
    </row>
    <row r="408">
      <c r="A408" s="218"/>
      <c r="B408" s="173"/>
      <c r="C408" s="173"/>
      <c r="D408" s="173"/>
      <c r="E408" s="173"/>
      <c r="F408" s="173"/>
      <c r="G408" s="173"/>
      <c r="H408" s="173"/>
      <c r="I408" s="173"/>
      <c r="J408" s="173"/>
      <c r="K408" s="173"/>
      <c r="L408" s="173"/>
      <c r="M408" s="173"/>
      <c r="N408" s="173"/>
      <c r="O408" s="173"/>
      <c r="P408" s="173"/>
      <c r="Q408" s="173"/>
      <c r="R408" s="173"/>
      <c r="S408" s="173"/>
      <c r="T408" s="173"/>
      <c r="U408" s="173"/>
      <c r="V408" s="173"/>
      <c r="W408" s="173"/>
      <c r="X408" s="173"/>
      <c r="Y408" s="173"/>
      <c r="Z408" s="173"/>
      <c r="AA408" s="173"/>
      <c r="AB408" s="173"/>
      <c r="AC408" s="468">
        <v>33.0</v>
      </c>
      <c r="AD408" s="173">
        <f t="shared" si="66"/>
        <v>116</v>
      </c>
      <c r="AE408" s="468">
        <v>4.0</v>
      </c>
      <c r="AF408" s="173"/>
      <c r="AG408" s="173"/>
      <c r="AH408" s="173"/>
      <c r="AI408" s="173"/>
      <c r="AJ408" s="173"/>
      <c r="AK408" s="173"/>
      <c r="AL408" s="173"/>
      <c r="AM408" s="173"/>
      <c r="AN408" s="173"/>
      <c r="AO408" s="173"/>
      <c r="AP408" s="173"/>
      <c r="AQ408" s="173"/>
      <c r="AR408" s="217"/>
      <c r="AS408" s="218"/>
    </row>
    <row r="409">
      <c r="A409" s="218"/>
      <c r="B409" s="173"/>
      <c r="C409" s="173"/>
      <c r="D409" s="173"/>
      <c r="E409" s="173"/>
      <c r="F409" s="173"/>
      <c r="G409" s="173"/>
      <c r="H409" s="173"/>
      <c r="I409" s="173"/>
      <c r="J409" s="173"/>
      <c r="K409" s="173"/>
      <c r="L409" s="173"/>
      <c r="M409" s="173"/>
      <c r="N409" s="173"/>
      <c r="O409" s="173"/>
      <c r="P409" s="173"/>
      <c r="Q409" s="173"/>
      <c r="R409" s="173"/>
      <c r="S409" s="173"/>
      <c r="T409" s="173"/>
      <c r="U409" s="173"/>
      <c r="V409" s="173"/>
      <c r="W409" s="173"/>
      <c r="X409" s="173"/>
      <c r="Y409" s="173"/>
      <c r="Z409" s="173"/>
      <c r="AA409" s="173"/>
      <c r="AB409" s="173"/>
      <c r="AC409" s="468">
        <v>34.0</v>
      </c>
      <c r="AD409" s="173">
        <f t="shared" si="66"/>
        <v>119</v>
      </c>
      <c r="AE409" s="468">
        <v>3.0</v>
      </c>
      <c r="AF409" s="173"/>
      <c r="AG409" s="173"/>
      <c r="AH409" s="173"/>
      <c r="AI409" s="173"/>
      <c r="AJ409" s="173"/>
      <c r="AK409" s="173"/>
      <c r="AL409" s="173"/>
      <c r="AM409" s="173"/>
      <c r="AN409" s="173"/>
      <c r="AO409" s="173"/>
      <c r="AP409" s="173"/>
      <c r="AQ409" s="173"/>
      <c r="AR409" s="217"/>
      <c r="AS409" s="218"/>
    </row>
    <row r="410">
      <c r="A410" s="218"/>
      <c r="B410" s="173"/>
      <c r="C410" s="173"/>
      <c r="D410" s="173"/>
      <c r="E410" s="173"/>
      <c r="F410" s="173"/>
      <c r="G410" s="173"/>
      <c r="H410" s="173"/>
      <c r="I410" s="173"/>
      <c r="J410" s="173"/>
      <c r="K410" s="173"/>
      <c r="L410" s="173"/>
      <c r="M410" s="173"/>
      <c r="N410" s="173"/>
      <c r="O410" s="173"/>
      <c r="P410" s="173"/>
      <c r="Q410" s="173"/>
      <c r="R410" s="173"/>
      <c r="S410" s="173"/>
      <c r="T410" s="173"/>
      <c r="U410" s="173"/>
      <c r="V410" s="173"/>
      <c r="W410" s="173"/>
      <c r="X410" s="173"/>
      <c r="Y410" s="173"/>
      <c r="Z410" s="173"/>
      <c r="AA410" s="173"/>
      <c r="AB410" s="173"/>
      <c r="AC410" s="468">
        <v>35.0</v>
      </c>
      <c r="AD410" s="173">
        <f t="shared" si="66"/>
        <v>123</v>
      </c>
      <c r="AE410" s="468">
        <v>4.0</v>
      </c>
      <c r="AF410" s="173"/>
      <c r="AG410" s="173"/>
      <c r="AH410" s="173"/>
      <c r="AI410" s="173"/>
      <c r="AJ410" s="173"/>
      <c r="AK410" s="173"/>
      <c r="AL410" s="173"/>
      <c r="AM410" s="173"/>
      <c r="AN410" s="173"/>
      <c r="AO410" s="173"/>
      <c r="AP410" s="173"/>
      <c r="AQ410" s="173"/>
      <c r="AR410" s="217"/>
      <c r="AS410" s="218"/>
    </row>
    <row r="411">
      <c r="A411" s="218"/>
      <c r="B411" s="173"/>
      <c r="C411" s="173"/>
      <c r="D411" s="173"/>
      <c r="E411" s="173"/>
      <c r="F411" s="173"/>
      <c r="G411" s="173"/>
      <c r="H411" s="173"/>
      <c r="I411" s="173"/>
      <c r="J411" s="173"/>
      <c r="K411" s="173"/>
      <c r="L411" s="173"/>
      <c r="M411" s="173"/>
      <c r="N411" s="173"/>
      <c r="O411" s="173"/>
      <c r="P411" s="173"/>
      <c r="Q411" s="173"/>
      <c r="R411" s="173"/>
      <c r="S411" s="173"/>
      <c r="T411" s="173"/>
      <c r="U411" s="173"/>
      <c r="V411" s="173"/>
      <c r="W411" s="173"/>
      <c r="X411" s="173"/>
      <c r="Y411" s="173"/>
      <c r="Z411" s="173"/>
      <c r="AA411" s="173"/>
      <c r="AB411" s="173"/>
      <c r="AC411" s="468">
        <v>36.0</v>
      </c>
      <c r="AD411" s="173">
        <f t="shared" si="66"/>
        <v>126</v>
      </c>
      <c r="AE411" s="468">
        <v>3.0</v>
      </c>
      <c r="AF411" s="173"/>
      <c r="AG411" s="173"/>
      <c r="AH411" s="173"/>
      <c r="AI411" s="173"/>
      <c r="AJ411" s="173"/>
      <c r="AK411" s="173"/>
      <c r="AL411" s="173"/>
      <c r="AM411" s="173"/>
      <c r="AN411" s="173"/>
      <c r="AO411" s="173"/>
      <c r="AP411" s="173"/>
      <c r="AQ411" s="173"/>
      <c r="AR411" s="217"/>
      <c r="AS411" s="218"/>
    </row>
    <row r="412">
      <c r="A412" s="218"/>
      <c r="B412" s="173"/>
      <c r="C412" s="173"/>
      <c r="D412" s="173"/>
      <c r="E412" s="173"/>
      <c r="F412" s="173"/>
      <c r="G412" s="173"/>
      <c r="H412" s="173"/>
      <c r="I412" s="173"/>
      <c r="J412" s="173"/>
      <c r="K412" s="173"/>
      <c r="L412" s="173"/>
      <c r="M412" s="173"/>
      <c r="N412" s="173"/>
      <c r="O412" s="173"/>
      <c r="P412" s="173"/>
      <c r="Q412" s="173"/>
      <c r="R412" s="173"/>
      <c r="S412" s="173"/>
      <c r="T412" s="173"/>
      <c r="U412" s="173"/>
      <c r="V412" s="173"/>
      <c r="W412" s="173"/>
      <c r="X412" s="173"/>
      <c r="Y412" s="173"/>
      <c r="Z412" s="173"/>
      <c r="AA412" s="173"/>
      <c r="AB412" s="173"/>
      <c r="AC412" s="468">
        <v>37.0</v>
      </c>
      <c r="AD412" s="173">
        <f t="shared" si="66"/>
        <v>130</v>
      </c>
      <c r="AE412" s="468">
        <v>4.0</v>
      </c>
      <c r="AF412" s="173"/>
      <c r="AG412" s="173"/>
      <c r="AH412" s="173"/>
      <c r="AI412" s="173"/>
      <c r="AJ412" s="173"/>
      <c r="AK412" s="173"/>
      <c r="AL412" s="173"/>
      <c r="AM412" s="173"/>
      <c r="AN412" s="173"/>
      <c r="AO412" s="173"/>
      <c r="AP412" s="173"/>
      <c r="AQ412" s="173"/>
      <c r="AR412" s="217"/>
      <c r="AS412" s="218"/>
    </row>
    <row r="413">
      <c r="A413" s="218"/>
      <c r="B413" s="173"/>
      <c r="C413" s="173"/>
      <c r="D413" s="173"/>
      <c r="E413" s="173"/>
      <c r="F413" s="173"/>
      <c r="G413" s="173"/>
      <c r="H413" s="173"/>
      <c r="I413" s="173"/>
      <c r="J413" s="173"/>
      <c r="K413" s="173"/>
      <c r="L413" s="173"/>
      <c r="M413" s="173"/>
      <c r="N413" s="173"/>
      <c r="O413" s="173"/>
      <c r="P413" s="173"/>
      <c r="Q413" s="173"/>
      <c r="R413" s="173"/>
      <c r="S413" s="173"/>
      <c r="T413" s="173"/>
      <c r="U413" s="173"/>
      <c r="V413" s="173"/>
      <c r="W413" s="173"/>
      <c r="X413" s="173"/>
      <c r="Y413" s="173"/>
      <c r="Z413" s="173"/>
      <c r="AA413" s="173"/>
      <c r="AB413" s="173"/>
      <c r="AC413" s="468">
        <v>38.0</v>
      </c>
      <c r="AD413" s="173">
        <f t="shared" si="66"/>
        <v>133</v>
      </c>
      <c r="AE413" s="468">
        <v>3.0</v>
      </c>
      <c r="AF413" s="173"/>
      <c r="AG413" s="173"/>
      <c r="AH413" s="173"/>
      <c r="AI413" s="173"/>
      <c r="AJ413" s="173"/>
      <c r="AK413" s="173"/>
      <c r="AL413" s="173"/>
      <c r="AM413" s="173"/>
      <c r="AN413" s="173"/>
      <c r="AO413" s="173"/>
      <c r="AP413" s="173"/>
      <c r="AQ413" s="173"/>
      <c r="AR413" s="217"/>
      <c r="AS413" s="218"/>
    </row>
    <row r="414">
      <c r="A414" s="218"/>
      <c r="B414" s="173"/>
      <c r="C414" s="173"/>
      <c r="D414" s="173"/>
      <c r="E414" s="173"/>
      <c r="F414" s="173"/>
      <c r="G414" s="173"/>
      <c r="H414" s="173"/>
      <c r="I414" s="173"/>
      <c r="J414" s="173"/>
      <c r="K414" s="173"/>
      <c r="L414" s="173"/>
      <c r="M414" s="173"/>
      <c r="N414" s="173"/>
      <c r="O414" s="173"/>
      <c r="P414" s="173"/>
      <c r="Q414" s="173"/>
      <c r="R414" s="173"/>
      <c r="S414" s="173"/>
      <c r="T414" s="173"/>
      <c r="U414" s="173"/>
      <c r="V414" s="173"/>
      <c r="W414" s="173"/>
      <c r="X414" s="173"/>
      <c r="Y414" s="173"/>
      <c r="Z414" s="173"/>
      <c r="AA414" s="173"/>
      <c r="AB414" s="173"/>
      <c r="AC414" s="468">
        <v>39.0</v>
      </c>
      <c r="AD414" s="173">
        <f t="shared" si="66"/>
        <v>137</v>
      </c>
      <c r="AE414" s="468">
        <v>4.0</v>
      </c>
      <c r="AF414" s="173"/>
      <c r="AG414" s="173"/>
      <c r="AH414" s="173"/>
      <c r="AI414" s="173"/>
      <c r="AJ414" s="173"/>
      <c r="AK414" s="173"/>
      <c r="AL414" s="173"/>
      <c r="AM414" s="173"/>
      <c r="AN414" s="173"/>
      <c r="AO414" s="173"/>
      <c r="AP414" s="173"/>
      <c r="AQ414" s="173"/>
      <c r="AR414" s="217"/>
      <c r="AS414" s="218"/>
    </row>
    <row r="415">
      <c r="A415" s="218"/>
      <c r="B415" s="173"/>
      <c r="C415" s="173"/>
      <c r="D415" s="173"/>
      <c r="E415" s="173"/>
      <c r="F415" s="173"/>
      <c r="G415" s="173"/>
      <c r="H415" s="173"/>
      <c r="I415" s="173"/>
      <c r="J415" s="173"/>
      <c r="K415" s="173"/>
      <c r="L415" s="173"/>
      <c r="M415" s="173"/>
      <c r="N415" s="173"/>
      <c r="O415" s="173"/>
      <c r="P415" s="173"/>
      <c r="Q415" s="173"/>
      <c r="R415" s="173"/>
      <c r="S415" s="173"/>
      <c r="T415" s="173"/>
      <c r="U415" s="173"/>
      <c r="V415" s="173"/>
      <c r="W415" s="173"/>
      <c r="X415" s="173"/>
      <c r="Y415" s="173"/>
      <c r="Z415" s="173"/>
      <c r="AA415" s="173"/>
      <c r="AB415" s="173"/>
      <c r="AC415" s="468">
        <v>40.0</v>
      </c>
      <c r="AD415" s="173">
        <f t="shared" si="66"/>
        <v>140</v>
      </c>
      <c r="AE415" s="468">
        <v>3.0</v>
      </c>
      <c r="AF415" s="173"/>
      <c r="AG415" s="173"/>
      <c r="AH415" s="173"/>
      <c r="AI415" s="173"/>
      <c r="AJ415" s="173"/>
      <c r="AK415" s="173"/>
      <c r="AL415" s="173"/>
      <c r="AM415" s="173"/>
      <c r="AN415" s="173"/>
      <c r="AO415" s="173"/>
      <c r="AP415" s="173"/>
      <c r="AQ415" s="173"/>
      <c r="AR415" s="217"/>
      <c r="AS415" s="218"/>
    </row>
    <row r="416">
      <c r="A416" s="218"/>
      <c r="B416" s="173"/>
      <c r="C416" s="173"/>
      <c r="D416" s="173"/>
      <c r="E416" s="173"/>
      <c r="F416" s="173"/>
      <c r="G416" s="173"/>
      <c r="H416" s="173"/>
      <c r="I416" s="173"/>
      <c r="J416" s="173"/>
      <c r="K416" s="173"/>
      <c r="L416" s="173"/>
      <c r="M416" s="173"/>
      <c r="N416" s="173"/>
      <c r="O416" s="173"/>
      <c r="P416" s="173"/>
      <c r="Q416" s="173"/>
      <c r="R416" s="173"/>
      <c r="S416" s="173"/>
      <c r="T416" s="173"/>
      <c r="U416" s="173"/>
      <c r="V416" s="173"/>
      <c r="W416" s="173"/>
      <c r="X416" s="173"/>
      <c r="Y416" s="173"/>
      <c r="Z416" s="173"/>
      <c r="AA416" s="173"/>
      <c r="AB416" s="173"/>
      <c r="AC416" s="468">
        <v>41.0</v>
      </c>
      <c r="AD416" s="173">
        <f t="shared" si="66"/>
        <v>144</v>
      </c>
      <c r="AE416" s="468">
        <v>4.0</v>
      </c>
      <c r="AF416" s="173"/>
      <c r="AG416" s="173"/>
      <c r="AH416" s="173"/>
      <c r="AI416" s="173"/>
      <c r="AJ416" s="173"/>
      <c r="AK416" s="173"/>
      <c r="AL416" s="173"/>
      <c r="AM416" s="173"/>
      <c r="AN416" s="173"/>
      <c r="AO416" s="173"/>
      <c r="AP416" s="173"/>
      <c r="AQ416" s="173"/>
      <c r="AR416" s="217"/>
      <c r="AS416" s="218"/>
    </row>
    <row r="417">
      <c r="A417" s="218"/>
      <c r="B417" s="173"/>
      <c r="C417" s="173"/>
      <c r="D417" s="173"/>
      <c r="E417" s="173"/>
      <c r="F417" s="173"/>
      <c r="G417" s="173"/>
      <c r="H417" s="173"/>
      <c r="I417" s="173"/>
      <c r="J417" s="173"/>
      <c r="K417" s="173"/>
      <c r="L417" s="173"/>
      <c r="M417" s="173"/>
      <c r="N417" s="173"/>
      <c r="O417" s="173"/>
      <c r="P417" s="173"/>
      <c r="Q417" s="173"/>
      <c r="R417" s="173"/>
      <c r="S417" s="173"/>
      <c r="T417" s="173"/>
      <c r="U417" s="173"/>
      <c r="V417" s="173"/>
      <c r="W417" s="173"/>
      <c r="X417" s="173"/>
      <c r="Y417" s="173"/>
      <c r="Z417" s="173"/>
      <c r="AA417" s="173"/>
      <c r="AB417" s="173"/>
      <c r="AC417" s="468">
        <v>42.0</v>
      </c>
      <c r="AD417" s="173">
        <f t="shared" si="66"/>
        <v>147</v>
      </c>
      <c r="AE417" s="468">
        <v>3.0</v>
      </c>
      <c r="AF417" s="173"/>
      <c r="AG417" s="173"/>
      <c r="AH417" s="173"/>
      <c r="AI417" s="173"/>
      <c r="AJ417" s="173"/>
      <c r="AK417" s="173"/>
      <c r="AL417" s="173"/>
      <c r="AM417" s="173"/>
      <c r="AN417" s="173"/>
      <c r="AO417" s="173"/>
      <c r="AP417" s="173"/>
      <c r="AQ417" s="173"/>
      <c r="AR417" s="217"/>
      <c r="AS417" s="218"/>
    </row>
    <row r="418">
      <c r="A418" s="218"/>
      <c r="B418" s="173"/>
      <c r="C418" s="173"/>
      <c r="D418" s="173"/>
      <c r="E418" s="173"/>
      <c r="F418" s="173"/>
      <c r="G418" s="173"/>
      <c r="H418" s="173"/>
      <c r="I418" s="173"/>
      <c r="J418" s="173"/>
      <c r="K418" s="173"/>
      <c r="L418" s="173"/>
      <c r="M418" s="173"/>
      <c r="N418" s="173"/>
      <c r="O418" s="173"/>
      <c r="P418" s="173"/>
      <c r="Q418" s="173"/>
      <c r="R418" s="173"/>
      <c r="S418" s="173"/>
      <c r="T418" s="173"/>
      <c r="U418" s="173"/>
      <c r="V418" s="173"/>
      <c r="W418" s="173"/>
      <c r="X418" s="173"/>
      <c r="Y418" s="173"/>
      <c r="Z418" s="173"/>
      <c r="AA418" s="173"/>
      <c r="AB418" s="173"/>
      <c r="AC418" s="468">
        <v>43.0</v>
      </c>
      <c r="AD418" s="173">
        <f t="shared" si="66"/>
        <v>151</v>
      </c>
      <c r="AE418" s="468">
        <v>4.0</v>
      </c>
      <c r="AF418" s="173"/>
      <c r="AG418" s="173"/>
      <c r="AH418" s="173"/>
      <c r="AI418" s="173"/>
      <c r="AJ418" s="173"/>
      <c r="AK418" s="173"/>
      <c r="AL418" s="173"/>
      <c r="AM418" s="173"/>
      <c r="AN418" s="173"/>
      <c r="AO418" s="173"/>
      <c r="AP418" s="173"/>
      <c r="AQ418" s="173"/>
      <c r="AR418" s="217"/>
      <c r="AS418" s="218"/>
    </row>
    <row r="419">
      <c r="A419" s="218"/>
      <c r="B419" s="173"/>
      <c r="C419" s="173"/>
      <c r="D419" s="173"/>
      <c r="E419" s="173"/>
      <c r="F419" s="173"/>
      <c r="G419" s="173"/>
      <c r="H419" s="173"/>
      <c r="I419" s="173"/>
      <c r="J419" s="173"/>
      <c r="K419" s="173"/>
      <c r="L419" s="173"/>
      <c r="M419" s="173"/>
      <c r="N419" s="173"/>
      <c r="O419" s="173"/>
      <c r="P419" s="173"/>
      <c r="Q419" s="173"/>
      <c r="R419" s="173"/>
      <c r="S419" s="173"/>
      <c r="T419" s="173"/>
      <c r="U419" s="173"/>
      <c r="V419" s="173"/>
      <c r="W419" s="173"/>
      <c r="X419" s="173"/>
      <c r="Y419" s="173"/>
      <c r="Z419" s="173"/>
      <c r="AA419" s="173"/>
      <c r="AB419" s="173"/>
      <c r="AC419" s="468">
        <v>44.0</v>
      </c>
      <c r="AD419" s="173">
        <f t="shared" si="66"/>
        <v>154</v>
      </c>
      <c r="AE419" s="468">
        <v>3.0</v>
      </c>
      <c r="AF419" s="173"/>
      <c r="AG419" s="173"/>
      <c r="AH419" s="173"/>
      <c r="AI419" s="173"/>
      <c r="AJ419" s="173"/>
      <c r="AK419" s="173"/>
      <c r="AL419" s="173"/>
      <c r="AM419" s="173"/>
      <c r="AN419" s="173"/>
      <c r="AO419" s="173"/>
      <c r="AP419" s="173"/>
      <c r="AQ419" s="173"/>
      <c r="AR419" s="217"/>
      <c r="AS419" s="218"/>
    </row>
    <row r="420">
      <c r="A420" s="218"/>
      <c r="B420" s="173"/>
      <c r="C420" s="173"/>
      <c r="D420" s="173"/>
      <c r="E420" s="173"/>
      <c r="F420" s="173"/>
      <c r="G420" s="173"/>
      <c r="H420" s="173"/>
      <c r="I420" s="173"/>
      <c r="J420" s="173"/>
      <c r="K420" s="173"/>
      <c r="L420" s="173"/>
      <c r="M420" s="173"/>
      <c r="N420" s="173"/>
      <c r="O420" s="173"/>
      <c r="P420" s="173"/>
      <c r="Q420" s="173"/>
      <c r="R420" s="173"/>
      <c r="S420" s="173"/>
      <c r="T420" s="173"/>
      <c r="U420" s="173"/>
      <c r="V420" s="173"/>
      <c r="W420" s="173"/>
      <c r="X420" s="173"/>
      <c r="Y420" s="173"/>
      <c r="Z420" s="173"/>
      <c r="AA420" s="173"/>
      <c r="AB420" s="173"/>
      <c r="AC420" s="468">
        <v>45.0</v>
      </c>
      <c r="AD420" s="173">
        <f t="shared" si="66"/>
        <v>158</v>
      </c>
      <c r="AE420" s="468">
        <v>4.0</v>
      </c>
      <c r="AF420" s="173"/>
      <c r="AG420" s="173"/>
      <c r="AH420" s="173"/>
      <c r="AI420" s="173"/>
      <c r="AJ420" s="173"/>
      <c r="AK420" s="173"/>
      <c r="AL420" s="173"/>
      <c r="AM420" s="173"/>
      <c r="AN420" s="173"/>
      <c r="AO420" s="173"/>
      <c r="AP420" s="173"/>
      <c r="AQ420" s="173"/>
      <c r="AR420" s="217"/>
      <c r="AS420" s="218"/>
    </row>
    <row r="421">
      <c r="A421" s="218"/>
      <c r="B421" s="173"/>
      <c r="C421" s="173"/>
      <c r="D421" s="173"/>
      <c r="E421" s="173"/>
      <c r="F421" s="173"/>
      <c r="G421" s="173"/>
      <c r="H421" s="173"/>
      <c r="I421" s="173"/>
      <c r="J421" s="173"/>
      <c r="K421" s="173"/>
      <c r="L421" s="173"/>
      <c r="M421" s="173"/>
      <c r="N421" s="173"/>
      <c r="O421" s="173"/>
      <c r="P421" s="173"/>
      <c r="Q421" s="173"/>
      <c r="R421" s="173"/>
      <c r="S421" s="173"/>
      <c r="T421" s="173"/>
      <c r="U421" s="173"/>
      <c r="V421" s="173"/>
      <c r="W421" s="173"/>
      <c r="X421" s="173"/>
      <c r="Y421" s="173"/>
      <c r="Z421" s="173"/>
      <c r="AA421" s="173"/>
      <c r="AB421" s="173"/>
      <c r="AC421" s="468">
        <v>46.0</v>
      </c>
      <c r="AD421" s="173">
        <f t="shared" si="66"/>
        <v>161</v>
      </c>
      <c r="AE421" s="468">
        <v>3.0</v>
      </c>
      <c r="AF421" s="173"/>
      <c r="AG421" s="173"/>
      <c r="AH421" s="173"/>
      <c r="AI421" s="173"/>
      <c r="AJ421" s="173"/>
      <c r="AK421" s="173"/>
      <c r="AL421" s="173"/>
      <c r="AM421" s="173"/>
      <c r="AN421" s="173"/>
      <c r="AO421" s="173"/>
      <c r="AP421" s="173"/>
      <c r="AQ421" s="173"/>
      <c r="AR421" s="217"/>
      <c r="AS421" s="218"/>
    </row>
    <row r="422">
      <c r="A422" s="218"/>
      <c r="B422" s="173"/>
      <c r="C422" s="173"/>
      <c r="D422" s="173"/>
      <c r="E422" s="173"/>
      <c r="F422" s="173"/>
      <c r="G422" s="173"/>
      <c r="H422" s="173"/>
      <c r="I422" s="173"/>
      <c r="J422" s="173"/>
      <c r="K422" s="173"/>
      <c r="L422" s="173"/>
      <c r="M422" s="173"/>
      <c r="N422" s="173"/>
      <c r="O422" s="173"/>
      <c r="P422" s="173"/>
      <c r="Q422" s="173"/>
      <c r="R422" s="173"/>
      <c r="S422" s="173"/>
      <c r="T422" s="173"/>
      <c r="U422" s="173"/>
      <c r="V422" s="173"/>
      <c r="W422" s="173"/>
      <c r="X422" s="173"/>
      <c r="Y422" s="173"/>
      <c r="Z422" s="173"/>
      <c r="AA422" s="173"/>
      <c r="AB422" s="173"/>
      <c r="AC422" s="468">
        <v>47.0</v>
      </c>
      <c r="AD422" s="173">
        <f t="shared" si="66"/>
        <v>165</v>
      </c>
      <c r="AE422" s="468">
        <v>4.0</v>
      </c>
      <c r="AF422" s="173"/>
      <c r="AG422" s="173"/>
      <c r="AH422" s="173"/>
      <c r="AI422" s="173"/>
      <c r="AJ422" s="173"/>
      <c r="AK422" s="173"/>
      <c r="AL422" s="173"/>
      <c r="AM422" s="173"/>
      <c r="AN422" s="173"/>
      <c r="AO422" s="173"/>
      <c r="AP422" s="173"/>
      <c r="AQ422" s="173"/>
      <c r="AR422" s="217"/>
      <c r="AS422" s="218"/>
    </row>
    <row r="423">
      <c r="A423" s="218"/>
      <c r="B423" s="173"/>
      <c r="C423" s="173"/>
      <c r="D423" s="173"/>
      <c r="E423" s="173"/>
      <c r="F423" s="173"/>
      <c r="G423" s="173"/>
      <c r="H423" s="173"/>
      <c r="I423" s="173"/>
      <c r="J423" s="173"/>
      <c r="K423" s="173"/>
      <c r="L423" s="173"/>
      <c r="M423" s="173"/>
      <c r="N423" s="173"/>
      <c r="O423" s="173"/>
      <c r="P423" s="173"/>
      <c r="Q423" s="173"/>
      <c r="R423" s="173"/>
      <c r="S423" s="173"/>
      <c r="T423" s="173"/>
      <c r="U423" s="173"/>
      <c r="V423" s="173"/>
      <c r="W423" s="173"/>
      <c r="X423" s="173"/>
      <c r="Y423" s="173"/>
      <c r="Z423" s="173"/>
      <c r="AA423" s="173"/>
      <c r="AB423" s="173"/>
      <c r="AC423" s="468">
        <v>48.0</v>
      </c>
      <c r="AD423" s="173">
        <f t="shared" si="66"/>
        <v>168</v>
      </c>
      <c r="AE423" s="468">
        <v>3.0</v>
      </c>
      <c r="AF423" s="173"/>
      <c r="AG423" s="173"/>
      <c r="AH423" s="173"/>
      <c r="AI423" s="173"/>
      <c r="AJ423" s="173"/>
      <c r="AK423" s="173"/>
      <c r="AL423" s="173"/>
      <c r="AM423" s="173"/>
      <c r="AN423" s="173"/>
      <c r="AO423" s="173"/>
      <c r="AP423" s="173"/>
      <c r="AQ423" s="173"/>
      <c r="AR423" s="217"/>
      <c r="AS423" s="218"/>
    </row>
    <row r="424">
      <c r="A424" s="218"/>
      <c r="B424" s="173"/>
      <c r="C424" s="173"/>
      <c r="D424" s="173"/>
      <c r="E424" s="173"/>
      <c r="F424" s="173"/>
      <c r="G424" s="173"/>
      <c r="H424" s="173"/>
      <c r="I424" s="173"/>
      <c r="J424" s="173"/>
      <c r="K424" s="173"/>
      <c r="L424" s="173"/>
      <c r="M424" s="173"/>
      <c r="N424" s="173"/>
      <c r="O424" s="173"/>
      <c r="P424" s="173"/>
      <c r="Q424" s="173"/>
      <c r="R424" s="173"/>
      <c r="S424" s="173"/>
      <c r="T424" s="173"/>
      <c r="U424" s="173"/>
      <c r="V424" s="173"/>
      <c r="W424" s="173"/>
      <c r="X424" s="173"/>
      <c r="Y424" s="173"/>
      <c r="Z424" s="173"/>
      <c r="AA424" s="173"/>
      <c r="AB424" s="173"/>
      <c r="AC424" s="468">
        <v>49.0</v>
      </c>
      <c r="AD424" s="173">
        <f t="shared" si="66"/>
        <v>172</v>
      </c>
      <c r="AE424" s="468">
        <v>4.0</v>
      </c>
      <c r="AF424" s="173"/>
      <c r="AG424" s="173"/>
      <c r="AH424" s="173"/>
      <c r="AI424" s="173"/>
      <c r="AJ424" s="173"/>
      <c r="AK424" s="173"/>
      <c r="AL424" s="173"/>
      <c r="AM424" s="173"/>
      <c r="AN424" s="173"/>
      <c r="AO424" s="173"/>
      <c r="AP424" s="173"/>
      <c r="AQ424" s="173"/>
      <c r="AR424" s="217"/>
      <c r="AS424" s="218"/>
    </row>
    <row r="425">
      <c r="A425" s="218"/>
      <c r="B425" s="173"/>
      <c r="C425" s="173"/>
      <c r="D425" s="173"/>
      <c r="E425" s="173"/>
      <c r="F425" s="173"/>
      <c r="G425" s="173"/>
      <c r="H425" s="173"/>
      <c r="I425" s="173"/>
      <c r="J425" s="173"/>
      <c r="K425" s="173"/>
      <c r="L425" s="173"/>
      <c r="M425" s="173"/>
      <c r="N425" s="173"/>
      <c r="O425" s="173"/>
      <c r="P425" s="173"/>
      <c r="Q425" s="173"/>
      <c r="R425" s="173"/>
      <c r="S425" s="173"/>
      <c r="T425" s="173"/>
      <c r="U425" s="173"/>
      <c r="V425" s="173"/>
      <c r="W425" s="173"/>
      <c r="X425" s="173"/>
      <c r="Y425" s="173"/>
      <c r="Z425" s="173"/>
      <c r="AA425" s="173"/>
      <c r="AB425" s="173"/>
      <c r="AC425" s="468">
        <v>50.0</v>
      </c>
      <c r="AD425" s="173">
        <f t="shared" si="66"/>
        <v>175</v>
      </c>
      <c r="AE425" s="468">
        <v>3.0</v>
      </c>
      <c r="AF425" s="173"/>
      <c r="AG425" s="173"/>
      <c r="AH425" s="173"/>
      <c r="AI425" s="173"/>
      <c r="AJ425" s="173"/>
      <c r="AK425" s="173"/>
      <c r="AL425" s="173"/>
      <c r="AM425" s="173"/>
      <c r="AN425" s="173"/>
      <c r="AO425" s="173"/>
      <c r="AP425" s="173"/>
      <c r="AQ425" s="173"/>
      <c r="AR425" s="217"/>
      <c r="AS425" s="218"/>
    </row>
    <row r="426">
      <c r="A426" s="218"/>
      <c r="B426" s="173"/>
      <c r="C426" s="173"/>
      <c r="D426" s="173"/>
      <c r="E426" s="173"/>
      <c r="F426" s="173"/>
      <c r="G426" s="173"/>
      <c r="H426" s="173"/>
      <c r="I426" s="173"/>
      <c r="J426" s="173"/>
      <c r="K426" s="173"/>
      <c r="L426" s="173"/>
      <c r="M426" s="173"/>
      <c r="N426" s="173"/>
      <c r="O426" s="173"/>
      <c r="P426" s="173"/>
      <c r="Q426" s="173"/>
      <c r="R426" s="173"/>
      <c r="S426" s="173"/>
      <c r="T426" s="173"/>
      <c r="U426" s="173"/>
      <c r="V426" s="173"/>
      <c r="W426" s="173"/>
      <c r="X426" s="173"/>
      <c r="Y426" s="173"/>
      <c r="Z426" s="173"/>
      <c r="AA426" s="173"/>
      <c r="AB426" s="173"/>
      <c r="AC426" s="468">
        <v>51.0</v>
      </c>
      <c r="AD426" s="173">
        <f t="shared" si="66"/>
        <v>179</v>
      </c>
      <c r="AE426" s="468">
        <v>4.0</v>
      </c>
      <c r="AF426" s="173"/>
      <c r="AG426" s="173"/>
      <c r="AH426" s="173"/>
      <c r="AI426" s="173"/>
      <c r="AJ426" s="173"/>
      <c r="AK426" s="173"/>
      <c r="AL426" s="173"/>
      <c r="AM426" s="173"/>
      <c r="AN426" s="173"/>
      <c r="AO426" s="173"/>
      <c r="AP426" s="173"/>
      <c r="AQ426" s="173"/>
      <c r="AR426" s="217"/>
      <c r="AS426" s="218"/>
    </row>
    <row r="427">
      <c r="A427" s="218"/>
      <c r="B427" s="173"/>
      <c r="C427" s="173"/>
      <c r="D427" s="173"/>
      <c r="E427" s="173"/>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468">
        <v>52.0</v>
      </c>
      <c r="AD427" s="173">
        <f t="shared" si="66"/>
        <v>182</v>
      </c>
      <c r="AE427" s="468">
        <v>3.0</v>
      </c>
      <c r="AF427" s="173"/>
      <c r="AG427" s="173"/>
      <c r="AH427" s="173"/>
      <c r="AI427" s="173"/>
      <c r="AJ427" s="173"/>
      <c r="AK427" s="173"/>
      <c r="AL427" s="173"/>
      <c r="AM427" s="173"/>
      <c r="AN427" s="173"/>
      <c r="AO427" s="173"/>
      <c r="AP427" s="173"/>
      <c r="AQ427" s="173"/>
      <c r="AR427" s="217"/>
      <c r="AS427" s="218"/>
    </row>
    <row r="428">
      <c r="A428" s="218"/>
      <c r="B428" s="173"/>
      <c r="C428" s="173"/>
      <c r="D428" s="173"/>
      <c r="E428" s="173"/>
      <c r="F428" s="173"/>
      <c r="G428" s="173"/>
      <c r="H428" s="173"/>
      <c r="I428" s="173"/>
      <c r="J428" s="173"/>
      <c r="K428" s="173"/>
      <c r="L428" s="173"/>
      <c r="M428" s="173"/>
      <c r="N428" s="173"/>
      <c r="O428" s="173"/>
      <c r="P428" s="173"/>
      <c r="Q428" s="173"/>
      <c r="R428" s="173"/>
      <c r="S428" s="173"/>
      <c r="T428" s="173"/>
      <c r="U428" s="173"/>
      <c r="V428" s="173"/>
      <c r="W428" s="173"/>
      <c r="X428" s="173"/>
      <c r="Y428" s="173"/>
      <c r="Z428" s="173"/>
      <c r="AA428" s="173"/>
      <c r="AB428" s="173"/>
      <c r="AC428" s="468">
        <v>53.0</v>
      </c>
      <c r="AD428" s="173">
        <f t="shared" si="66"/>
        <v>186</v>
      </c>
      <c r="AE428" s="468">
        <v>4.0</v>
      </c>
      <c r="AF428" s="173"/>
      <c r="AG428" s="173"/>
      <c r="AH428" s="173"/>
      <c r="AI428" s="173"/>
      <c r="AJ428" s="173"/>
      <c r="AK428" s="173"/>
      <c r="AL428" s="173"/>
      <c r="AM428" s="173"/>
      <c r="AN428" s="173"/>
      <c r="AO428" s="173"/>
      <c r="AP428" s="173"/>
      <c r="AQ428" s="173"/>
      <c r="AR428" s="217"/>
      <c r="AS428" s="218"/>
    </row>
    <row r="429">
      <c r="A429" s="218"/>
      <c r="B429" s="173"/>
      <c r="C429" s="173"/>
      <c r="D429" s="173"/>
      <c r="E429" s="173"/>
      <c r="F429" s="173"/>
      <c r="G429" s="173"/>
      <c r="H429" s="173"/>
      <c r="I429" s="173"/>
      <c r="J429" s="173"/>
      <c r="K429" s="173"/>
      <c r="L429" s="173"/>
      <c r="M429" s="173"/>
      <c r="N429" s="173"/>
      <c r="O429" s="173"/>
      <c r="P429" s="173"/>
      <c r="Q429" s="173"/>
      <c r="R429" s="173"/>
      <c r="S429" s="173"/>
      <c r="T429" s="173"/>
      <c r="U429" s="173"/>
      <c r="V429" s="173"/>
      <c r="W429" s="173"/>
      <c r="X429" s="173"/>
      <c r="Y429" s="173"/>
      <c r="Z429" s="173"/>
      <c r="AA429" s="173"/>
      <c r="AB429" s="173"/>
      <c r="AC429" s="468">
        <v>54.0</v>
      </c>
      <c r="AD429" s="173">
        <f t="shared" si="66"/>
        <v>189</v>
      </c>
      <c r="AE429" s="468">
        <v>3.0</v>
      </c>
      <c r="AF429" s="173"/>
      <c r="AG429" s="173"/>
      <c r="AH429" s="173"/>
      <c r="AI429" s="173"/>
      <c r="AJ429" s="173"/>
      <c r="AK429" s="173"/>
      <c r="AL429" s="173"/>
      <c r="AM429" s="173"/>
      <c r="AN429" s="173"/>
      <c r="AO429" s="173"/>
      <c r="AP429" s="173"/>
      <c r="AQ429" s="173"/>
      <c r="AR429" s="217"/>
      <c r="AS429" s="218"/>
    </row>
    <row r="430">
      <c r="A430" s="218"/>
      <c r="B430" s="173"/>
      <c r="C430" s="173"/>
      <c r="D430" s="173"/>
      <c r="E430" s="173"/>
      <c r="F430" s="173"/>
      <c r="G430" s="173"/>
      <c r="H430" s="173"/>
      <c r="I430" s="173"/>
      <c r="J430" s="173"/>
      <c r="K430" s="173"/>
      <c r="L430" s="173"/>
      <c r="M430" s="173"/>
      <c r="N430" s="173"/>
      <c r="O430" s="173"/>
      <c r="P430" s="173"/>
      <c r="Q430" s="173"/>
      <c r="R430" s="173"/>
      <c r="S430" s="173"/>
      <c r="T430" s="173"/>
      <c r="U430" s="173"/>
      <c r="V430" s="173"/>
      <c r="W430" s="173"/>
      <c r="X430" s="173"/>
      <c r="Y430" s="173"/>
      <c r="Z430" s="173"/>
      <c r="AA430" s="173"/>
      <c r="AB430" s="173"/>
      <c r="AC430" s="468">
        <v>55.0</v>
      </c>
      <c r="AD430" s="173">
        <f t="shared" si="66"/>
        <v>193</v>
      </c>
      <c r="AE430" s="468">
        <v>4.0</v>
      </c>
      <c r="AF430" s="173"/>
      <c r="AG430" s="173"/>
      <c r="AH430" s="173"/>
      <c r="AI430" s="173"/>
      <c r="AJ430" s="173"/>
      <c r="AK430" s="173"/>
      <c r="AL430" s="173"/>
      <c r="AM430" s="173"/>
      <c r="AN430" s="173"/>
      <c r="AO430" s="173"/>
      <c r="AP430" s="173"/>
      <c r="AQ430" s="173"/>
      <c r="AR430" s="217"/>
      <c r="AS430" s="218"/>
    </row>
    <row r="431">
      <c r="A431" s="218"/>
      <c r="B431" s="173"/>
      <c r="C431" s="173"/>
      <c r="D431" s="173"/>
      <c r="E431" s="173"/>
      <c r="F431" s="173"/>
      <c r="G431" s="173"/>
      <c r="H431" s="173"/>
      <c r="I431" s="173"/>
      <c r="J431" s="173"/>
      <c r="K431" s="173"/>
      <c r="L431" s="173"/>
      <c r="M431" s="173"/>
      <c r="N431" s="173"/>
      <c r="O431" s="173"/>
      <c r="P431" s="173"/>
      <c r="Q431" s="173"/>
      <c r="R431" s="173"/>
      <c r="S431" s="173"/>
      <c r="T431" s="173"/>
      <c r="U431" s="173"/>
      <c r="V431" s="173"/>
      <c r="W431" s="173"/>
      <c r="X431" s="173"/>
      <c r="Y431" s="173"/>
      <c r="Z431" s="173"/>
      <c r="AA431" s="173"/>
      <c r="AB431" s="173"/>
      <c r="AC431" s="468">
        <v>56.0</v>
      </c>
      <c r="AD431" s="173">
        <f t="shared" si="66"/>
        <v>196</v>
      </c>
      <c r="AE431" s="468">
        <v>3.0</v>
      </c>
      <c r="AF431" s="173"/>
      <c r="AG431" s="173"/>
      <c r="AH431" s="173"/>
      <c r="AI431" s="173"/>
      <c r="AJ431" s="173"/>
      <c r="AK431" s="173"/>
      <c r="AL431" s="173"/>
      <c r="AM431" s="173"/>
      <c r="AN431" s="173"/>
      <c r="AO431" s="173"/>
      <c r="AP431" s="173"/>
      <c r="AQ431" s="173"/>
      <c r="AR431" s="217"/>
      <c r="AS431" s="218"/>
    </row>
    <row r="432">
      <c r="A432" s="218"/>
      <c r="B432" s="173"/>
      <c r="C432" s="173"/>
      <c r="D432" s="173"/>
      <c r="E432" s="173"/>
      <c r="F432" s="173"/>
      <c r="G432" s="173"/>
      <c r="H432" s="173"/>
      <c r="I432" s="173"/>
      <c r="J432" s="173"/>
      <c r="K432" s="173"/>
      <c r="L432" s="173"/>
      <c r="M432" s="173"/>
      <c r="N432" s="173"/>
      <c r="O432" s="173"/>
      <c r="P432" s="173"/>
      <c r="Q432" s="173"/>
      <c r="R432" s="173"/>
      <c r="S432" s="173"/>
      <c r="T432" s="173"/>
      <c r="U432" s="173"/>
      <c r="V432" s="173"/>
      <c r="W432" s="173"/>
      <c r="X432" s="173"/>
      <c r="Y432" s="173"/>
      <c r="Z432" s="173"/>
      <c r="AA432" s="173"/>
      <c r="AB432" s="173"/>
      <c r="AC432" s="468">
        <v>57.0</v>
      </c>
      <c r="AD432" s="173">
        <f t="shared" si="66"/>
        <v>200</v>
      </c>
      <c r="AE432" s="468">
        <v>4.0</v>
      </c>
      <c r="AF432" s="173"/>
      <c r="AG432" s="173"/>
      <c r="AH432" s="173"/>
      <c r="AI432" s="173"/>
      <c r="AJ432" s="173"/>
      <c r="AK432" s="173"/>
      <c r="AL432" s="173"/>
      <c r="AM432" s="173"/>
      <c r="AN432" s="173"/>
      <c r="AO432" s="173"/>
      <c r="AP432" s="173"/>
      <c r="AQ432" s="173"/>
      <c r="AR432" s="217"/>
      <c r="AS432" s="218"/>
    </row>
    <row r="433">
      <c r="A433" s="218"/>
      <c r="B433" s="173"/>
      <c r="C433" s="173"/>
      <c r="D433" s="173"/>
      <c r="E433" s="173"/>
      <c r="F433" s="173"/>
      <c r="G433" s="173"/>
      <c r="H433" s="173"/>
      <c r="I433" s="173"/>
      <c r="J433" s="173"/>
      <c r="K433" s="173"/>
      <c r="L433" s="173"/>
      <c r="M433" s="173"/>
      <c r="N433" s="173"/>
      <c r="O433" s="173"/>
      <c r="P433" s="173"/>
      <c r="Q433" s="173"/>
      <c r="R433" s="173"/>
      <c r="S433" s="173"/>
      <c r="T433" s="173"/>
      <c r="U433" s="173"/>
      <c r="V433" s="173"/>
      <c r="W433" s="173"/>
      <c r="X433" s="173"/>
      <c r="Y433" s="173"/>
      <c r="Z433" s="173"/>
      <c r="AA433" s="173"/>
      <c r="AB433" s="173"/>
      <c r="AC433" s="468">
        <v>58.0</v>
      </c>
      <c r="AD433" s="173">
        <f t="shared" si="66"/>
        <v>203</v>
      </c>
      <c r="AE433" s="468">
        <v>3.0</v>
      </c>
      <c r="AF433" s="173"/>
      <c r="AG433" s="173"/>
      <c r="AH433" s="173"/>
      <c r="AI433" s="173"/>
      <c r="AJ433" s="173"/>
      <c r="AK433" s="173"/>
      <c r="AL433" s="173"/>
      <c r="AM433" s="173"/>
      <c r="AN433" s="173"/>
      <c r="AO433" s="173"/>
      <c r="AP433" s="173"/>
      <c r="AQ433" s="173"/>
      <c r="AR433" s="217"/>
      <c r="AS433" s="218"/>
    </row>
    <row r="434">
      <c r="A434" s="218"/>
      <c r="B434" s="173"/>
      <c r="C434" s="173"/>
      <c r="D434" s="173"/>
      <c r="E434" s="173"/>
      <c r="F434" s="173"/>
      <c r="G434" s="173"/>
      <c r="H434" s="173"/>
      <c r="I434" s="173"/>
      <c r="J434" s="173"/>
      <c r="K434" s="173"/>
      <c r="L434" s="173"/>
      <c r="M434" s="173"/>
      <c r="N434" s="173"/>
      <c r="O434" s="173"/>
      <c r="P434" s="173"/>
      <c r="Q434" s="173"/>
      <c r="R434" s="173"/>
      <c r="S434" s="173"/>
      <c r="T434" s="173"/>
      <c r="U434" s="173"/>
      <c r="V434" s="173"/>
      <c r="W434" s="173"/>
      <c r="X434" s="173"/>
      <c r="Y434" s="173"/>
      <c r="Z434" s="173"/>
      <c r="AA434" s="173"/>
      <c r="AB434" s="173"/>
      <c r="AC434" s="468">
        <v>59.0</v>
      </c>
      <c r="AD434" s="173">
        <f t="shared" si="66"/>
        <v>207</v>
      </c>
      <c r="AE434" s="468">
        <v>4.0</v>
      </c>
      <c r="AF434" s="173"/>
      <c r="AG434" s="173"/>
      <c r="AH434" s="173"/>
      <c r="AI434" s="173"/>
      <c r="AJ434" s="173"/>
      <c r="AK434" s="173"/>
      <c r="AL434" s="173"/>
      <c r="AM434" s="173"/>
      <c r="AN434" s="173"/>
      <c r="AO434" s="173"/>
      <c r="AP434" s="173"/>
      <c r="AQ434" s="173"/>
      <c r="AR434" s="217"/>
      <c r="AS434" s="218"/>
    </row>
    <row r="435">
      <c r="A435" s="218"/>
      <c r="B435" s="173"/>
      <c r="C435" s="173"/>
      <c r="D435" s="173"/>
      <c r="E435" s="173"/>
      <c r="F435" s="173"/>
      <c r="G435" s="173"/>
      <c r="H435" s="173"/>
      <c r="I435" s="173"/>
      <c r="J435" s="173"/>
      <c r="K435" s="173"/>
      <c r="L435" s="173"/>
      <c r="M435" s="173"/>
      <c r="N435" s="173"/>
      <c r="O435" s="173"/>
      <c r="P435" s="173"/>
      <c r="Q435" s="173"/>
      <c r="R435" s="173"/>
      <c r="S435" s="173"/>
      <c r="T435" s="173"/>
      <c r="U435" s="173"/>
      <c r="V435" s="173"/>
      <c r="W435" s="173"/>
      <c r="X435" s="173"/>
      <c r="Y435" s="173"/>
      <c r="Z435" s="173"/>
      <c r="AA435" s="173"/>
      <c r="AB435" s="173"/>
      <c r="AC435" s="468">
        <v>60.0</v>
      </c>
      <c r="AD435" s="173">
        <f t="shared" si="66"/>
        <v>210</v>
      </c>
      <c r="AE435" s="468">
        <v>3.0</v>
      </c>
      <c r="AF435" s="173"/>
      <c r="AG435" s="173"/>
      <c r="AH435" s="173"/>
      <c r="AI435" s="173"/>
      <c r="AJ435" s="173"/>
      <c r="AK435" s="173"/>
      <c r="AL435" s="173"/>
      <c r="AM435" s="173"/>
      <c r="AN435" s="173"/>
      <c r="AO435" s="173"/>
      <c r="AP435" s="173"/>
      <c r="AQ435" s="173"/>
      <c r="AR435" s="217"/>
      <c r="AS435" s="218"/>
    </row>
    <row r="436">
      <c r="A436" s="218"/>
      <c r="B436" s="173"/>
      <c r="C436" s="173"/>
      <c r="D436" s="173"/>
      <c r="E436" s="173"/>
      <c r="F436" s="173"/>
      <c r="G436" s="173"/>
      <c r="H436" s="173"/>
      <c r="I436" s="173"/>
      <c r="J436" s="173"/>
      <c r="K436" s="173"/>
      <c r="L436" s="173"/>
      <c r="M436" s="173"/>
      <c r="N436" s="173"/>
      <c r="O436" s="173"/>
      <c r="P436" s="173"/>
      <c r="Q436" s="173"/>
      <c r="R436" s="173"/>
      <c r="S436" s="173"/>
      <c r="T436" s="173"/>
      <c r="U436" s="173"/>
      <c r="V436" s="173"/>
      <c r="W436" s="173"/>
      <c r="X436" s="173"/>
      <c r="Y436" s="173"/>
      <c r="Z436" s="173"/>
      <c r="AA436" s="173"/>
      <c r="AB436" s="173"/>
      <c r="AC436" s="468">
        <v>61.0</v>
      </c>
      <c r="AD436" s="173">
        <f t="shared" si="66"/>
        <v>214</v>
      </c>
      <c r="AE436" s="468">
        <v>4.0</v>
      </c>
      <c r="AF436" s="173"/>
      <c r="AG436" s="173"/>
      <c r="AH436" s="173"/>
      <c r="AI436" s="173"/>
      <c r="AJ436" s="173"/>
      <c r="AK436" s="173"/>
      <c r="AL436" s="173"/>
      <c r="AM436" s="173"/>
      <c r="AN436" s="173"/>
      <c r="AO436" s="173"/>
      <c r="AP436" s="173"/>
      <c r="AQ436" s="173"/>
      <c r="AR436" s="217"/>
      <c r="AS436" s="218"/>
    </row>
    <row r="437">
      <c r="A437" s="218"/>
      <c r="B437" s="173"/>
      <c r="C437" s="173"/>
      <c r="D437" s="173"/>
      <c r="E437" s="173"/>
      <c r="F437" s="173"/>
      <c r="G437" s="173"/>
      <c r="H437" s="173"/>
      <c r="I437" s="173"/>
      <c r="J437" s="173"/>
      <c r="K437" s="173"/>
      <c r="L437" s="173"/>
      <c r="M437" s="173"/>
      <c r="N437" s="173"/>
      <c r="O437" s="173"/>
      <c r="P437" s="173"/>
      <c r="Q437" s="173"/>
      <c r="R437" s="173"/>
      <c r="S437" s="173"/>
      <c r="T437" s="173"/>
      <c r="U437" s="173"/>
      <c r="V437" s="173"/>
      <c r="W437" s="173"/>
      <c r="X437" s="173"/>
      <c r="Y437" s="173"/>
      <c r="Z437" s="173"/>
      <c r="AA437" s="173"/>
      <c r="AB437" s="173"/>
      <c r="AC437" s="468">
        <v>62.0</v>
      </c>
      <c r="AD437" s="173">
        <f t="shared" si="66"/>
        <v>217</v>
      </c>
      <c r="AE437" s="468">
        <v>3.0</v>
      </c>
      <c r="AF437" s="173"/>
      <c r="AG437" s="173"/>
      <c r="AH437" s="173"/>
      <c r="AI437" s="173"/>
      <c r="AJ437" s="173"/>
      <c r="AK437" s="173"/>
      <c r="AL437" s="173"/>
      <c r="AM437" s="173"/>
      <c r="AN437" s="173"/>
      <c r="AO437" s="173"/>
      <c r="AP437" s="173"/>
      <c r="AQ437" s="173"/>
      <c r="AR437" s="217"/>
      <c r="AS437" s="218"/>
    </row>
    <row r="438">
      <c r="A438" s="218"/>
      <c r="B438" s="173"/>
      <c r="C438" s="173"/>
      <c r="D438" s="173"/>
      <c r="E438" s="173"/>
      <c r="F438" s="173"/>
      <c r="G438" s="173"/>
      <c r="H438" s="173"/>
      <c r="I438" s="173"/>
      <c r="J438" s="173"/>
      <c r="K438" s="173"/>
      <c r="L438" s="173"/>
      <c r="M438" s="173"/>
      <c r="N438" s="173"/>
      <c r="O438" s="173"/>
      <c r="P438" s="173"/>
      <c r="Q438" s="173"/>
      <c r="R438" s="173"/>
      <c r="S438" s="173"/>
      <c r="T438" s="173"/>
      <c r="U438" s="173"/>
      <c r="V438" s="173"/>
      <c r="W438" s="173"/>
      <c r="X438" s="173"/>
      <c r="Y438" s="173"/>
      <c r="Z438" s="173"/>
      <c r="AA438" s="173"/>
      <c r="AB438" s="173"/>
      <c r="AC438" s="468">
        <v>63.0</v>
      </c>
      <c r="AD438" s="173">
        <f t="shared" si="66"/>
        <v>221</v>
      </c>
      <c r="AE438" s="468">
        <v>4.0</v>
      </c>
      <c r="AF438" s="173"/>
      <c r="AG438" s="173"/>
      <c r="AH438" s="173"/>
      <c r="AI438" s="173"/>
      <c r="AJ438" s="173"/>
      <c r="AK438" s="173"/>
      <c r="AL438" s="173"/>
      <c r="AM438" s="173"/>
      <c r="AN438" s="173"/>
      <c r="AO438" s="173"/>
      <c r="AP438" s="173"/>
      <c r="AQ438" s="173"/>
      <c r="AR438" s="217"/>
      <c r="AS438" s="218"/>
    </row>
    <row r="439">
      <c r="A439" s="218"/>
      <c r="B439" s="173"/>
      <c r="C439" s="173"/>
      <c r="D439" s="173"/>
      <c r="E439" s="173"/>
      <c r="F439" s="173"/>
      <c r="G439" s="173"/>
      <c r="H439" s="173"/>
      <c r="I439" s="173"/>
      <c r="J439" s="173"/>
      <c r="K439" s="173"/>
      <c r="L439" s="173"/>
      <c r="M439" s="173"/>
      <c r="N439" s="173"/>
      <c r="O439" s="173"/>
      <c r="P439" s="173"/>
      <c r="Q439" s="173"/>
      <c r="R439" s="173"/>
      <c r="S439" s="173"/>
      <c r="T439" s="173"/>
      <c r="U439" s="173"/>
      <c r="V439" s="173"/>
      <c r="W439" s="173"/>
      <c r="X439" s="173"/>
      <c r="Y439" s="173"/>
      <c r="Z439" s="173"/>
      <c r="AA439" s="173"/>
      <c r="AB439" s="173"/>
      <c r="AC439" s="468">
        <v>64.0</v>
      </c>
      <c r="AD439" s="173">
        <f t="shared" si="66"/>
        <v>224</v>
      </c>
      <c r="AE439" s="468">
        <v>3.0</v>
      </c>
      <c r="AF439" s="173"/>
      <c r="AG439" s="173"/>
      <c r="AH439" s="173"/>
      <c r="AI439" s="173"/>
      <c r="AJ439" s="173"/>
      <c r="AK439" s="173"/>
      <c r="AL439" s="173"/>
      <c r="AM439" s="173"/>
      <c r="AN439" s="173"/>
      <c r="AO439" s="173"/>
      <c r="AP439" s="173"/>
      <c r="AQ439" s="173"/>
      <c r="AR439" s="217"/>
      <c r="AS439" s="218"/>
    </row>
    <row r="440">
      <c r="A440" s="218"/>
      <c r="B440" s="173"/>
      <c r="C440" s="173"/>
      <c r="D440" s="173"/>
      <c r="E440" s="173"/>
      <c r="F440" s="173"/>
      <c r="G440" s="173"/>
      <c r="H440" s="173"/>
      <c r="I440" s="173"/>
      <c r="J440" s="173"/>
      <c r="K440" s="173"/>
      <c r="L440" s="173"/>
      <c r="M440" s="173"/>
      <c r="N440" s="173"/>
      <c r="O440" s="173"/>
      <c r="P440" s="173"/>
      <c r="Q440" s="173"/>
      <c r="R440" s="173"/>
      <c r="S440" s="173"/>
      <c r="T440" s="173"/>
      <c r="U440" s="173"/>
      <c r="V440" s="173"/>
      <c r="W440" s="173"/>
      <c r="X440" s="173"/>
      <c r="Y440" s="173"/>
      <c r="Z440" s="173"/>
      <c r="AA440" s="173"/>
      <c r="AB440" s="173"/>
      <c r="AC440" s="173"/>
      <c r="AD440" s="173"/>
      <c r="AE440" s="173"/>
      <c r="AF440" s="173"/>
      <c r="AG440" s="173"/>
      <c r="AH440" s="173"/>
      <c r="AI440" s="173"/>
      <c r="AJ440" s="173"/>
      <c r="AK440" s="173"/>
      <c r="AL440" s="173"/>
      <c r="AM440" s="173"/>
      <c r="AN440" s="173"/>
      <c r="AO440" s="173"/>
      <c r="AP440" s="173"/>
      <c r="AQ440" s="173"/>
      <c r="AR440" s="217"/>
      <c r="AS440" s="218"/>
    </row>
    <row r="441">
      <c r="A441" s="218"/>
      <c r="B441" s="173"/>
      <c r="C441" s="173"/>
      <c r="D441" s="173"/>
      <c r="E441" s="173"/>
      <c r="F441" s="173"/>
      <c r="G441" s="173"/>
      <c r="H441" s="173"/>
      <c r="I441" s="173"/>
      <c r="J441" s="173"/>
      <c r="K441" s="173"/>
      <c r="L441" s="173"/>
      <c r="M441" s="173"/>
      <c r="N441" s="173"/>
      <c r="O441" s="173"/>
      <c r="P441" s="173"/>
      <c r="Q441" s="173"/>
      <c r="R441" s="173"/>
      <c r="S441" s="173"/>
      <c r="T441" s="173"/>
      <c r="U441" s="173"/>
      <c r="V441" s="173"/>
      <c r="W441" s="173"/>
      <c r="X441" s="173"/>
      <c r="Y441" s="173"/>
      <c r="Z441" s="173"/>
      <c r="AA441" s="173"/>
      <c r="AB441" s="173"/>
      <c r="AC441" s="173"/>
      <c r="AD441" s="173"/>
      <c r="AE441" s="173"/>
      <c r="AF441" s="173"/>
      <c r="AG441" s="173"/>
      <c r="AH441" s="173"/>
      <c r="AI441" s="173"/>
      <c r="AJ441" s="173"/>
      <c r="AK441" s="173"/>
      <c r="AL441" s="173"/>
      <c r="AM441" s="173"/>
      <c r="AN441" s="173"/>
      <c r="AO441" s="173"/>
      <c r="AP441" s="173"/>
      <c r="AQ441" s="173"/>
      <c r="AR441" s="217"/>
      <c r="AS441" s="218"/>
    </row>
    <row r="442">
      <c r="A442" s="218"/>
      <c r="B442" s="173"/>
      <c r="C442" s="173"/>
      <c r="D442" s="173"/>
      <c r="E442" s="173"/>
      <c r="F442" s="173"/>
      <c r="G442" s="173"/>
      <c r="H442" s="173"/>
      <c r="I442" s="173"/>
      <c r="J442" s="173"/>
      <c r="K442" s="173"/>
      <c r="L442" s="173"/>
      <c r="M442" s="173"/>
      <c r="N442" s="173"/>
      <c r="O442" s="173"/>
      <c r="P442" s="173"/>
      <c r="Q442" s="173"/>
      <c r="R442" s="173"/>
      <c r="S442" s="173"/>
      <c r="T442" s="173"/>
      <c r="U442" s="173"/>
      <c r="V442" s="173"/>
      <c r="W442" s="173"/>
      <c r="X442" s="173"/>
      <c r="Y442" s="173"/>
      <c r="Z442" s="173"/>
      <c r="AA442" s="173"/>
      <c r="AB442" s="173"/>
      <c r="AC442" s="173"/>
      <c r="AD442" s="173"/>
      <c r="AE442" s="173"/>
      <c r="AF442" s="173"/>
      <c r="AG442" s="173"/>
      <c r="AH442" s="173"/>
      <c r="AI442" s="173"/>
      <c r="AJ442" s="173"/>
      <c r="AK442" s="173"/>
      <c r="AL442" s="173"/>
      <c r="AM442" s="173"/>
      <c r="AN442" s="173"/>
      <c r="AO442" s="173"/>
      <c r="AP442" s="173"/>
      <c r="AQ442" s="173"/>
      <c r="AR442" s="217"/>
      <c r="AS442" s="218"/>
    </row>
    <row r="443">
      <c r="A443" s="218"/>
      <c r="B443" s="173"/>
      <c r="C443" s="173"/>
      <c r="D443" s="173"/>
      <c r="E443" s="173"/>
      <c r="F443" s="173"/>
      <c r="G443" s="173"/>
      <c r="H443" s="173"/>
      <c r="I443" s="173"/>
      <c r="J443" s="173"/>
      <c r="K443" s="173"/>
      <c r="L443" s="173"/>
      <c r="M443" s="173"/>
      <c r="N443" s="173"/>
      <c r="O443" s="173"/>
      <c r="P443" s="173"/>
      <c r="Q443" s="173"/>
      <c r="R443" s="173"/>
      <c r="S443" s="173"/>
      <c r="T443" s="173"/>
      <c r="U443" s="173"/>
      <c r="V443" s="173"/>
      <c r="W443" s="173"/>
      <c r="X443" s="173"/>
      <c r="Y443" s="173"/>
      <c r="Z443" s="173"/>
      <c r="AA443" s="173"/>
      <c r="AB443" s="173"/>
      <c r="AC443" s="173"/>
      <c r="AD443" s="173"/>
      <c r="AE443" s="173"/>
      <c r="AF443" s="173"/>
      <c r="AG443" s="173"/>
      <c r="AH443" s="173"/>
      <c r="AI443" s="173"/>
      <c r="AJ443" s="173"/>
      <c r="AK443" s="173"/>
      <c r="AL443" s="173"/>
      <c r="AM443" s="173"/>
      <c r="AN443" s="173"/>
      <c r="AO443" s="173"/>
      <c r="AP443" s="173"/>
      <c r="AQ443" s="173"/>
      <c r="AR443" s="217"/>
      <c r="AS443" s="218"/>
    </row>
    <row r="444">
      <c r="A444" s="218"/>
      <c r="B444" s="173"/>
      <c r="C444" s="173"/>
      <c r="D444" s="173"/>
      <c r="E444" s="173"/>
      <c r="F444" s="173"/>
      <c r="G444" s="173"/>
      <c r="H444" s="173"/>
      <c r="I444" s="173"/>
      <c r="J444" s="173"/>
      <c r="K444" s="173"/>
      <c r="L444" s="173"/>
      <c r="M444" s="173"/>
      <c r="N444" s="173"/>
      <c r="O444" s="173"/>
      <c r="P444" s="173"/>
      <c r="Q444" s="173"/>
      <c r="R444" s="173"/>
      <c r="S444" s="173"/>
      <c r="T444" s="173"/>
      <c r="U444" s="173"/>
      <c r="V444" s="173"/>
      <c r="W444" s="173"/>
      <c r="X444" s="173"/>
      <c r="Y444" s="173"/>
      <c r="Z444" s="173"/>
      <c r="AA444" s="173"/>
      <c r="AB444" s="173"/>
      <c r="AC444" s="173"/>
      <c r="AD444" s="173"/>
      <c r="AE444" s="173"/>
      <c r="AF444" s="173"/>
      <c r="AG444" s="173"/>
      <c r="AH444" s="173"/>
      <c r="AI444" s="173"/>
      <c r="AJ444" s="173"/>
      <c r="AK444" s="173"/>
      <c r="AL444" s="173"/>
      <c r="AM444" s="173"/>
      <c r="AN444" s="173"/>
      <c r="AO444" s="173"/>
      <c r="AP444" s="173"/>
      <c r="AQ444" s="173"/>
      <c r="AR444" s="217"/>
      <c r="AS444" s="218"/>
    </row>
    <row r="445">
      <c r="A445" s="218"/>
      <c r="B445" s="173"/>
      <c r="C445" s="173"/>
      <c r="D445" s="173"/>
      <c r="E445" s="173"/>
      <c r="F445" s="173"/>
      <c r="G445" s="173"/>
      <c r="H445" s="173"/>
      <c r="I445" s="173"/>
      <c r="J445" s="173"/>
      <c r="K445" s="173"/>
      <c r="L445" s="173"/>
      <c r="M445" s="173"/>
      <c r="N445" s="173"/>
      <c r="O445" s="173"/>
      <c r="P445" s="173"/>
      <c r="Q445" s="173"/>
      <c r="R445" s="173"/>
      <c r="S445" s="173"/>
      <c r="T445" s="173"/>
      <c r="U445" s="173"/>
      <c r="V445" s="173"/>
      <c r="W445" s="173"/>
      <c r="X445" s="173"/>
      <c r="Y445" s="173"/>
      <c r="Z445" s="173"/>
      <c r="AA445" s="173"/>
      <c r="AB445" s="173"/>
      <c r="AC445" s="173"/>
      <c r="AD445" s="173"/>
      <c r="AE445" s="173"/>
      <c r="AF445" s="173"/>
      <c r="AG445" s="173"/>
      <c r="AH445" s="173"/>
      <c r="AI445" s="173"/>
      <c r="AJ445" s="173"/>
      <c r="AK445" s="173"/>
      <c r="AL445" s="173"/>
      <c r="AM445" s="173"/>
      <c r="AN445" s="173"/>
      <c r="AO445" s="173"/>
      <c r="AP445" s="173"/>
      <c r="AQ445" s="173"/>
      <c r="AR445" s="217"/>
      <c r="AS445" s="218"/>
    </row>
    <row r="446">
      <c r="A446" s="218"/>
      <c r="B446" s="173"/>
      <c r="C446" s="173"/>
      <c r="D446" s="173"/>
      <c r="E446" s="173"/>
      <c r="F446" s="173"/>
      <c r="G446" s="173"/>
      <c r="H446" s="173"/>
      <c r="I446" s="173"/>
      <c r="J446" s="173"/>
      <c r="K446" s="173"/>
      <c r="L446" s="173"/>
      <c r="M446" s="173"/>
      <c r="N446" s="173"/>
      <c r="O446" s="173"/>
      <c r="P446" s="173"/>
      <c r="Q446" s="173"/>
      <c r="R446" s="173"/>
      <c r="S446" s="173"/>
      <c r="T446" s="173"/>
      <c r="U446" s="173"/>
      <c r="V446" s="173"/>
      <c r="W446" s="173"/>
      <c r="X446" s="173"/>
      <c r="Y446" s="173"/>
      <c r="Z446" s="173"/>
      <c r="AA446" s="173"/>
      <c r="AB446" s="173"/>
      <c r="AC446" s="173"/>
      <c r="AD446" s="173"/>
      <c r="AE446" s="173"/>
      <c r="AF446" s="173"/>
      <c r="AG446" s="173"/>
      <c r="AH446" s="173"/>
      <c r="AI446" s="173"/>
      <c r="AJ446" s="173"/>
      <c r="AK446" s="173"/>
      <c r="AL446" s="173"/>
      <c r="AM446" s="173"/>
      <c r="AN446" s="173"/>
      <c r="AO446" s="173"/>
      <c r="AP446" s="173"/>
      <c r="AQ446" s="173"/>
      <c r="AR446" s="217"/>
      <c r="AS446" s="218"/>
    </row>
    <row r="447">
      <c r="A447" s="218"/>
      <c r="B447" s="173"/>
      <c r="C447" s="173"/>
      <c r="D447" s="173"/>
      <c r="E447" s="173"/>
      <c r="F447" s="173"/>
      <c r="G447" s="173"/>
      <c r="H447" s="173"/>
      <c r="I447" s="173"/>
      <c r="J447" s="173"/>
      <c r="K447" s="173"/>
      <c r="L447" s="173"/>
      <c r="M447" s="173"/>
      <c r="N447" s="173"/>
      <c r="O447" s="173"/>
      <c r="P447" s="173"/>
      <c r="Q447" s="173"/>
      <c r="R447" s="173"/>
      <c r="S447" s="173"/>
      <c r="T447" s="173"/>
      <c r="U447" s="173"/>
      <c r="V447" s="173"/>
      <c r="W447" s="173"/>
      <c r="X447" s="173"/>
      <c r="Y447" s="173"/>
      <c r="Z447" s="173"/>
      <c r="AA447" s="173"/>
      <c r="AB447" s="173"/>
      <c r="AC447" s="173"/>
      <c r="AD447" s="173"/>
      <c r="AE447" s="173"/>
      <c r="AF447" s="173"/>
      <c r="AG447" s="173"/>
      <c r="AH447" s="173"/>
      <c r="AI447" s="173"/>
      <c r="AJ447" s="173"/>
      <c r="AK447" s="173"/>
      <c r="AL447" s="173"/>
      <c r="AM447" s="173"/>
      <c r="AN447" s="173"/>
      <c r="AO447" s="173"/>
      <c r="AP447" s="173"/>
      <c r="AQ447" s="173"/>
      <c r="AR447" s="217"/>
      <c r="AS447" s="218"/>
    </row>
    <row r="448">
      <c r="A448" s="218"/>
      <c r="B448" s="173"/>
      <c r="C448" s="173"/>
      <c r="D448" s="173"/>
      <c r="E448" s="173"/>
      <c r="F448" s="173"/>
      <c r="G448" s="173"/>
      <c r="H448" s="173"/>
      <c r="I448" s="173"/>
      <c r="J448" s="173"/>
      <c r="K448" s="173"/>
      <c r="L448" s="173"/>
      <c r="M448" s="173"/>
      <c r="N448" s="173"/>
      <c r="O448" s="173"/>
      <c r="P448" s="173"/>
      <c r="Q448" s="173"/>
      <c r="R448" s="173"/>
      <c r="S448" s="173"/>
      <c r="T448" s="173"/>
      <c r="U448" s="173"/>
      <c r="V448" s="173"/>
      <c r="W448" s="173"/>
      <c r="X448" s="173"/>
      <c r="Y448" s="173"/>
      <c r="Z448" s="173"/>
      <c r="AA448" s="173"/>
      <c r="AB448" s="173"/>
      <c r="AC448" s="173"/>
      <c r="AD448" s="173"/>
      <c r="AE448" s="173"/>
      <c r="AF448" s="173"/>
      <c r="AG448" s="173"/>
      <c r="AH448" s="173"/>
      <c r="AI448" s="173"/>
      <c r="AJ448" s="173"/>
      <c r="AK448" s="173"/>
      <c r="AL448" s="173"/>
      <c r="AM448" s="173"/>
      <c r="AN448" s="173"/>
      <c r="AO448" s="173"/>
      <c r="AP448" s="173"/>
      <c r="AQ448" s="173"/>
      <c r="AR448" s="217"/>
      <c r="AS448" s="218"/>
    </row>
    <row r="449">
      <c r="A449" s="218"/>
      <c r="B449" s="173"/>
      <c r="C449" s="173"/>
      <c r="D449" s="173"/>
      <c r="E449" s="173"/>
      <c r="F449" s="173"/>
      <c r="G449" s="173"/>
      <c r="H449" s="173"/>
      <c r="I449" s="173"/>
      <c r="J449" s="173"/>
      <c r="K449" s="173"/>
      <c r="L449" s="173"/>
      <c r="M449" s="173"/>
      <c r="N449" s="173"/>
      <c r="O449" s="173"/>
      <c r="P449" s="173"/>
      <c r="Q449" s="173"/>
      <c r="R449" s="173"/>
      <c r="S449" s="173"/>
      <c r="T449" s="173"/>
      <c r="U449" s="173"/>
      <c r="V449" s="173"/>
      <c r="W449" s="173"/>
      <c r="X449" s="173"/>
      <c r="Y449" s="173"/>
      <c r="Z449" s="173"/>
      <c r="AA449" s="173"/>
      <c r="AB449" s="173"/>
      <c r="AC449" s="173"/>
      <c r="AD449" s="173"/>
      <c r="AE449" s="173"/>
      <c r="AF449" s="173"/>
      <c r="AG449" s="173"/>
      <c r="AH449" s="173"/>
      <c r="AI449" s="173"/>
      <c r="AJ449" s="173"/>
      <c r="AK449" s="173"/>
      <c r="AL449" s="173"/>
      <c r="AM449" s="173"/>
      <c r="AN449" s="173"/>
      <c r="AO449" s="173"/>
      <c r="AP449" s="173"/>
      <c r="AQ449" s="173"/>
      <c r="AR449" s="217"/>
      <c r="AS449" s="218"/>
    </row>
    <row r="450">
      <c r="A450" s="218"/>
      <c r="B450" s="173"/>
      <c r="C450" s="173"/>
      <c r="D450" s="173"/>
      <c r="E450" s="173"/>
      <c r="F450" s="173"/>
      <c r="G450" s="173"/>
      <c r="H450" s="173"/>
      <c r="I450" s="173"/>
      <c r="J450" s="173"/>
      <c r="K450" s="173"/>
      <c r="L450" s="173"/>
      <c r="M450" s="173"/>
      <c r="N450" s="173"/>
      <c r="O450" s="173"/>
      <c r="P450" s="173"/>
      <c r="Q450" s="173"/>
      <c r="R450" s="173"/>
      <c r="S450" s="173"/>
      <c r="T450" s="173"/>
      <c r="U450" s="173"/>
      <c r="V450" s="173"/>
      <c r="W450" s="173"/>
      <c r="X450" s="173"/>
      <c r="Y450" s="173"/>
      <c r="Z450" s="173"/>
      <c r="AA450" s="173"/>
      <c r="AB450" s="173"/>
      <c r="AC450" s="173"/>
      <c r="AD450" s="173"/>
      <c r="AE450" s="173"/>
      <c r="AF450" s="173"/>
      <c r="AG450" s="173"/>
      <c r="AH450" s="173"/>
      <c r="AI450" s="173"/>
      <c r="AJ450" s="173"/>
      <c r="AK450" s="173"/>
      <c r="AL450" s="173"/>
      <c r="AM450" s="173"/>
      <c r="AN450" s="173"/>
      <c r="AO450" s="173"/>
      <c r="AP450" s="173"/>
      <c r="AQ450" s="173"/>
      <c r="AR450" s="217"/>
      <c r="AS450" s="218"/>
    </row>
    <row r="451">
      <c r="A451" s="218"/>
      <c r="B451" s="173"/>
      <c r="C451" s="173"/>
      <c r="D451" s="173"/>
      <c r="E451" s="173"/>
      <c r="F451" s="173"/>
      <c r="G451" s="173"/>
      <c r="H451" s="173"/>
      <c r="I451" s="173"/>
      <c r="J451" s="173"/>
      <c r="K451" s="173"/>
      <c r="L451" s="173"/>
      <c r="M451" s="173"/>
      <c r="N451" s="173"/>
      <c r="O451" s="173"/>
      <c r="P451" s="173"/>
      <c r="Q451" s="173"/>
      <c r="R451" s="173"/>
      <c r="S451" s="173"/>
      <c r="T451" s="173"/>
      <c r="U451" s="173"/>
      <c r="V451" s="173"/>
      <c r="W451" s="173"/>
      <c r="X451" s="173"/>
      <c r="Y451" s="173"/>
      <c r="Z451" s="173"/>
      <c r="AA451" s="173"/>
      <c r="AB451" s="173"/>
      <c r="AC451" s="173"/>
      <c r="AD451" s="173"/>
      <c r="AE451" s="173"/>
      <c r="AF451" s="173"/>
      <c r="AG451" s="173"/>
      <c r="AH451" s="173"/>
      <c r="AI451" s="173"/>
      <c r="AJ451" s="173"/>
      <c r="AK451" s="173"/>
      <c r="AL451" s="173"/>
      <c r="AM451" s="173"/>
      <c r="AN451" s="173"/>
      <c r="AO451" s="173"/>
      <c r="AP451" s="173"/>
      <c r="AQ451" s="173"/>
      <c r="AR451" s="217"/>
      <c r="AS451" s="218"/>
    </row>
    <row r="452">
      <c r="A452" s="218"/>
      <c r="B452" s="173"/>
      <c r="C452" s="173"/>
      <c r="D452" s="173"/>
      <c r="E452" s="173"/>
      <c r="F452" s="173"/>
      <c r="G452" s="173"/>
      <c r="H452" s="173"/>
      <c r="I452" s="173"/>
      <c r="J452" s="173"/>
      <c r="K452" s="173"/>
      <c r="L452" s="173"/>
      <c r="M452" s="173"/>
      <c r="N452" s="173"/>
      <c r="O452" s="173"/>
      <c r="P452" s="173"/>
      <c r="Q452" s="173"/>
      <c r="R452" s="173"/>
      <c r="S452" s="173"/>
      <c r="T452" s="173"/>
      <c r="U452" s="173"/>
      <c r="V452" s="173"/>
      <c r="W452" s="173"/>
      <c r="X452" s="173"/>
      <c r="Y452" s="173"/>
      <c r="Z452" s="173"/>
      <c r="AA452" s="173"/>
      <c r="AB452" s="173"/>
      <c r="AC452" s="173"/>
      <c r="AD452" s="173"/>
      <c r="AE452" s="173"/>
      <c r="AF452" s="173"/>
      <c r="AG452" s="173"/>
      <c r="AH452" s="173"/>
      <c r="AI452" s="173"/>
      <c r="AJ452" s="173"/>
      <c r="AK452" s="173"/>
      <c r="AL452" s="173"/>
      <c r="AM452" s="173"/>
      <c r="AN452" s="173"/>
      <c r="AO452" s="173"/>
      <c r="AP452" s="173"/>
      <c r="AQ452" s="173"/>
      <c r="AR452" s="217"/>
      <c r="AS452" s="218"/>
    </row>
    <row r="453">
      <c r="A453" s="218"/>
      <c r="B453" s="173"/>
      <c r="C453" s="173"/>
      <c r="D453" s="173"/>
      <c r="E453" s="173"/>
      <c r="F453" s="173"/>
      <c r="G453" s="173"/>
      <c r="H453" s="173"/>
      <c r="I453" s="173"/>
      <c r="J453" s="173"/>
      <c r="K453" s="173"/>
      <c r="L453" s="173"/>
      <c r="M453" s="173"/>
      <c r="N453" s="173"/>
      <c r="O453" s="173"/>
      <c r="P453" s="173"/>
      <c r="Q453" s="173"/>
      <c r="R453" s="173"/>
      <c r="S453" s="173"/>
      <c r="T453" s="173"/>
      <c r="U453" s="173"/>
      <c r="V453" s="173"/>
      <c r="W453" s="173"/>
      <c r="X453" s="173"/>
      <c r="Y453" s="173"/>
      <c r="Z453" s="173"/>
      <c r="AA453" s="173"/>
      <c r="AB453" s="173"/>
      <c r="AC453" s="173"/>
      <c r="AD453" s="173"/>
      <c r="AE453" s="173"/>
      <c r="AF453" s="173"/>
      <c r="AG453" s="173"/>
      <c r="AH453" s="173"/>
      <c r="AI453" s="173"/>
      <c r="AJ453" s="173"/>
      <c r="AK453" s="173"/>
      <c r="AL453" s="173"/>
      <c r="AM453" s="173"/>
      <c r="AN453" s="173"/>
      <c r="AO453" s="173"/>
      <c r="AP453" s="173"/>
      <c r="AQ453" s="173"/>
      <c r="AR453" s="217"/>
      <c r="AS453" s="218"/>
    </row>
    <row r="454">
      <c r="A454" s="218"/>
      <c r="B454" s="173"/>
      <c r="C454" s="173"/>
      <c r="D454" s="173"/>
      <c r="E454" s="173"/>
      <c r="F454" s="173"/>
      <c r="G454" s="173"/>
      <c r="H454" s="173"/>
      <c r="I454" s="173"/>
      <c r="J454" s="173"/>
      <c r="K454" s="173"/>
      <c r="L454" s="173"/>
      <c r="M454" s="173"/>
      <c r="N454" s="173"/>
      <c r="O454" s="173"/>
      <c r="P454" s="173"/>
      <c r="Q454" s="173"/>
      <c r="R454" s="173"/>
      <c r="S454" s="173"/>
      <c r="T454" s="173"/>
      <c r="U454" s="173"/>
      <c r="V454" s="173"/>
      <c r="W454" s="173"/>
      <c r="X454" s="173"/>
      <c r="Y454" s="173"/>
      <c r="Z454" s="173"/>
      <c r="AA454" s="173"/>
      <c r="AB454" s="173"/>
      <c r="AC454" s="173"/>
      <c r="AD454" s="173"/>
      <c r="AE454" s="173"/>
      <c r="AF454" s="173"/>
      <c r="AG454" s="173"/>
      <c r="AH454" s="173"/>
      <c r="AI454" s="173"/>
      <c r="AJ454" s="173"/>
      <c r="AK454" s="173"/>
      <c r="AL454" s="173"/>
      <c r="AM454" s="173"/>
      <c r="AN454" s="173"/>
      <c r="AO454" s="173"/>
      <c r="AP454" s="173"/>
      <c r="AQ454" s="173"/>
      <c r="AR454" s="217"/>
      <c r="AS454" s="218"/>
    </row>
    <row r="455">
      <c r="A455" s="218"/>
      <c r="B455" s="173"/>
      <c r="C455" s="173"/>
      <c r="D455" s="173"/>
      <c r="E455" s="173"/>
      <c r="F455" s="173"/>
      <c r="G455" s="173"/>
      <c r="H455" s="173"/>
      <c r="I455" s="173"/>
      <c r="J455" s="173"/>
      <c r="K455" s="173"/>
      <c r="L455" s="173"/>
      <c r="M455" s="173"/>
      <c r="N455" s="173"/>
      <c r="O455" s="173"/>
      <c r="P455" s="173"/>
      <c r="Q455" s="173"/>
      <c r="R455" s="173"/>
      <c r="S455" s="173"/>
      <c r="T455" s="173"/>
      <c r="U455" s="173"/>
      <c r="V455" s="173"/>
      <c r="W455" s="173"/>
      <c r="X455" s="173"/>
      <c r="Y455" s="173"/>
      <c r="Z455" s="173"/>
      <c r="AA455" s="173"/>
      <c r="AB455" s="173"/>
      <c r="AC455" s="173"/>
      <c r="AD455" s="173"/>
      <c r="AE455" s="173"/>
      <c r="AF455" s="173"/>
      <c r="AG455" s="173"/>
      <c r="AH455" s="173"/>
      <c r="AI455" s="173"/>
      <c r="AJ455" s="173"/>
      <c r="AK455" s="173"/>
      <c r="AL455" s="173"/>
      <c r="AM455" s="173"/>
      <c r="AN455" s="173"/>
      <c r="AO455" s="173"/>
      <c r="AP455" s="173"/>
      <c r="AQ455" s="173"/>
      <c r="AR455" s="217"/>
      <c r="AS455" s="218"/>
    </row>
    <row r="456">
      <c r="A456" s="218"/>
      <c r="B456" s="173"/>
      <c r="C456" s="173"/>
      <c r="D456" s="173"/>
      <c r="E456" s="173"/>
      <c r="F456" s="173"/>
      <c r="G456" s="173"/>
      <c r="H456" s="173"/>
      <c r="I456" s="173"/>
      <c r="J456" s="173"/>
      <c r="K456" s="173"/>
      <c r="L456" s="173"/>
      <c r="M456" s="173"/>
      <c r="N456" s="173"/>
      <c r="O456" s="173"/>
      <c r="P456" s="173"/>
      <c r="Q456" s="173"/>
      <c r="R456" s="173"/>
      <c r="S456" s="173"/>
      <c r="T456" s="173"/>
      <c r="U456" s="173"/>
      <c r="V456" s="173"/>
      <c r="W456" s="173"/>
      <c r="X456" s="173"/>
      <c r="Y456" s="173"/>
      <c r="Z456" s="173"/>
      <c r="AA456" s="173"/>
      <c r="AB456" s="173"/>
      <c r="AC456" s="173"/>
      <c r="AD456" s="173"/>
      <c r="AE456" s="173"/>
      <c r="AF456" s="173"/>
      <c r="AG456" s="173"/>
      <c r="AH456" s="173"/>
      <c r="AI456" s="173"/>
      <c r="AJ456" s="173"/>
      <c r="AK456" s="173"/>
      <c r="AL456" s="173"/>
      <c r="AM456" s="173"/>
      <c r="AN456" s="173"/>
      <c r="AO456" s="173"/>
      <c r="AP456" s="173"/>
      <c r="AQ456" s="173"/>
      <c r="AR456" s="217"/>
      <c r="AS456" s="218"/>
    </row>
    <row r="457">
      <c r="A457" s="218"/>
      <c r="B457" s="173"/>
      <c r="C457" s="173"/>
      <c r="D457" s="173"/>
      <c r="E457" s="173"/>
      <c r="F457" s="173"/>
      <c r="G457" s="173"/>
      <c r="H457" s="173"/>
      <c r="I457" s="173"/>
      <c r="J457" s="173"/>
      <c r="K457" s="173"/>
      <c r="L457" s="173"/>
      <c r="M457" s="173"/>
      <c r="N457" s="173"/>
      <c r="O457" s="173"/>
      <c r="P457" s="173"/>
      <c r="Q457" s="173"/>
      <c r="R457" s="173"/>
      <c r="S457" s="173"/>
      <c r="T457" s="173"/>
      <c r="U457" s="173"/>
      <c r="V457" s="173"/>
      <c r="W457" s="173"/>
      <c r="X457" s="173"/>
      <c r="Y457" s="173"/>
      <c r="Z457" s="173"/>
      <c r="AA457" s="173"/>
      <c r="AB457" s="173"/>
      <c r="AC457" s="173"/>
      <c r="AD457" s="173"/>
      <c r="AE457" s="173"/>
      <c r="AF457" s="173"/>
      <c r="AG457" s="173"/>
      <c r="AH457" s="173"/>
      <c r="AI457" s="173"/>
      <c r="AJ457" s="173"/>
      <c r="AK457" s="173"/>
      <c r="AL457" s="173"/>
      <c r="AM457" s="173"/>
      <c r="AN457" s="173"/>
      <c r="AO457" s="173"/>
      <c r="AP457" s="173"/>
      <c r="AQ457" s="173"/>
      <c r="AR457" s="217"/>
      <c r="AS457" s="218"/>
    </row>
    <row r="458">
      <c r="A458" s="218"/>
      <c r="B458" s="173"/>
      <c r="C458" s="173"/>
      <c r="D458" s="173"/>
      <c r="E458" s="173"/>
      <c r="F458" s="173"/>
      <c r="G458" s="173"/>
      <c r="H458" s="173"/>
      <c r="I458" s="173"/>
      <c r="J458" s="173"/>
      <c r="K458" s="173"/>
      <c r="L458" s="173"/>
      <c r="M458" s="173"/>
      <c r="N458" s="173"/>
      <c r="O458" s="173"/>
      <c r="P458" s="173"/>
      <c r="Q458" s="173"/>
      <c r="R458" s="173"/>
      <c r="S458" s="173"/>
      <c r="T458" s="173"/>
      <c r="U458" s="173"/>
      <c r="V458" s="173"/>
      <c r="W458" s="173"/>
      <c r="X458" s="173"/>
      <c r="Y458" s="173"/>
      <c r="Z458" s="173"/>
      <c r="AA458" s="173"/>
      <c r="AB458" s="173"/>
      <c r="AC458" s="173"/>
      <c r="AD458" s="173"/>
      <c r="AE458" s="173"/>
      <c r="AF458" s="173"/>
      <c r="AG458" s="173"/>
      <c r="AH458" s="173"/>
      <c r="AI458" s="173"/>
      <c r="AJ458" s="173"/>
      <c r="AK458" s="173"/>
      <c r="AL458" s="173"/>
      <c r="AM458" s="173"/>
      <c r="AN458" s="173"/>
      <c r="AO458" s="173"/>
      <c r="AP458" s="173"/>
      <c r="AQ458" s="173"/>
      <c r="AR458" s="217"/>
      <c r="AS458" s="218"/>
    </row>
    <row r="459">
      <c r="A459" s="218"/>
      <c r="B459" s="173"/>
      <c r="C459" s="173"/>
      <c r="D459" s="173"/>
      <c r="E459" s="173"/>
      <c r="F459" s="173"/>
      <c r="G459" s="173"/>
      <c r="H459" s="173"/>
      <c r="I459" s="173"/>
      <c r="J459" s="173"/>
      <c r="K459" s="173"/>
      <c r="L459" s="173"/>
      <c r="M459" s="173"/>
      <c r="N459" s="173"/>
      <c r="O459" s="173"/>
      <c r="P459" s="173"/>
      <c r="Q459" s="173"/>
      <c r="R459" s="173"/>
      <c r="S459" s="173"/>
      <c r="T459" s="173"/>
      <c r="U459" s="173"/>
      <c r="V459" s="173"/>
      <c r="W459" s="173"/>
      <c r="X459" s="173"/>
      <c r="Y459" s="173"/>
      <c r="Z459" s="173"/>
      <c r="AA459" s="173"/>
      <c r="AB459" s="173"/>
      <c r="AC459" s="173"/>
      <c r="AD459" s="173"/>
      <c r="AE459" s="173"/>
      <c r="AF459" s="173"/>
      <c r="AG459" s="173"/>
      <c r="AH459" s="173"/>
      <c r="AI459" s="173"/>
      <c r="AJ459" s="173"/>
      <c r="AK459" s="173"/>
      <c r="AL459" s="173"/>
      <c r="AM459" s="173"/>
      <c r="AN459" s="173"/>
      <c r="AO459" s="173"/>
      <c r="AP459" s="173"/>
      <c r="AQ459" s="173"/>
      <c r="AR459" s="217"/>
      <c r="AS459" s="218"/>
    </row>
    <row r="460">
      <c r="A460" s="218"/>
      <c r="B460" s="173"/>
      <c r="C460" s="173"/>
      <c r="D460" s="173"/>
      <c r="E460" s="173"/>
      <c r="F460" s="173"/>
      <c r="G460" s="173"/>
      <c r="H460" s="173"/>
      <c r="I460" s="173"/>
      <c r="J460" s="173"/>
      <c r="K460" s="173"/>
      <c r="L460" s="173"/>
      <c r="M460" s="173"/>
      <c r="N460" s="173"/>
      <c r="O460" s="173"/>
      <c r="P460" s="173"/>
      <c r="Q460" s="173"/>
      <c r="R460" s="173"/>
      <c r="S460" s="173"/>
      <c r="T460" s="173"/>
      <c r="U460" s="173"/>
      <c r="V460" s="173"/>
      <c r="W460" s="173"/>
      <c r="X460" s="173"/>
      <c r="Y460" s="173"/>
      <c r="Z460" s="173"/>
      <c r="AA460" s="173"/>
      <c r="AB460" s="173"/>
      <c r="AC460" s="173"/>
      <c r="AD460" s="173"/>
      <c r="AE460" s="173"/>
      <c r="AF460" s="173"/>
      <c r="AG460" s="173"/>
      <c r="AH460" s="173"/>
      <c r="AI460" s="173"/>
      <c r="AJ460" s="173"/>
      <c r="AK460" s="173"/>
      <c r="AL460" s="173"/>
      <c r="AM460" s="173"/>
      <c r="AN460" s="173"/>
      <c r="AO460" s="173"/>
      <c r="AP460" s="173"/>
      <c r="AQ460" s="173"/>
      <c r="AR460" s="217"/>
      <c r="AS460" s="218"/>
    </row>
    <row r="461">
      <c r="A461" s="218"/>
      <c r="B461" s="173"/>
      <c r="C461" s="173"/>
      <c r="D461" s="173"/>
      <c r="E461" s="173"/>
      <c r="F461" s="173"/>
      <c r="G461" s="173"/>
      <c r="H461" s="173"/>
      <c r="I461" s="173"/>
      <c r="J461" s="173"/>
      <c r="K461" s="173"/>
      <c r="L461" s="173"/>
      <c r="M461" s="173"/>
      <c r="N461" s="173"/>
      <c r="O461" s="173"/>
      <c r="P461" s="173"/>
      <c r="Q461" s="173"/>
      <c r="R461" s="173"/>
      <c r="S461" s="173"/>
      <c r="T461" s="173"/>
      <c r="U461" s="173"/>
      <c r="V461" s="173"/>
      <c r="W461" s="173"/>
      <c r="X461" s="173"/>
      <c r="Y461" s="173"/>
      <c r="Z461" s="173"/>
      <c r="AA461" s="173"/>
      <c r="AB461" s="173"/>
      <c r="AC461" s="173"/>
      <c r="AD461" s="173"/>
      <c r="AE461" s="173"/>
      <c r="AF461" s="173"/>
      <c r="AG461" s="173"/>
      <c r="AH461" s="173"/>
      <c r="AI461" s="173"/>
      <c r="AJ461" s="173"/>
      <c r="AK461" s="173"/>
      <c r="AL461" s="173"/>
      <c r="AM461" s="173"/>
      <c r="AN461" s="173"/>
      <c r="AO461" s="173"/>
      <c r="AP461" s="173"/>
      <c r="AQ461" s="173"/>
      <c r="AR461" s="217"/>
      <c r="AS461" s="218"/>
    </row>
    <row r="462">
      <c r="A462" s="218"/>
      <c r="B462" s="173"/>
      <c r="C462" s="173"/>
      <c r="D462" s="173"/>
      <c r="E462" s="173"/>
      <c r="F462" s="173"/>
      <c r="G462" s="173"/>
      <c r="H462" s="173"/>
      <c r="I462" s="173"/>
      <c r="J462" s="173"/>
      <c r="K462" s="173"/>
      <c r="L462" s="173"/>
      <c r="M462" s="173"/>
      <c r="N462" s="173"/>
      <c r="O462" s="173"/>
      <c r="P462" s="173"/>
      <c r="Q462" s="173"/>
      <c r="R462" s="173"/>
      <c r="S462" s="173"/>
      <c r="T462" s="173"/>
      <c r="U462" s="173"/>
      <c r="V462" s="173"/>
      <c r="W462" s="173"/>
      <c r="X462" s="173"/>
      <c r="Y462" s="173"/>
      <c r="Z462" s="173"/>
      <c r="AA462" s="173"/>
      <c r="AB462" s="173"/>
      <c r="AC462" s="173"/>
      <c r="AD462" s="173"/>
      <c r="AE462" s="173"/>
      <c r="AF462" s="173"/>
      <c r="AG462" s="173"/>
      <c r="AH462" s="173"/>
      <c r="AI462" s="173"/>
      <c r="AJ462" s="173"/>
      <c r="AK462" s="173"/>
      <c r="AL462" s="173"/>
      <c r="AM462" s="173"/>
      <c r="AN462" s="173"/>
      <c r="AO462" s="173"/>
      <c r="AP462" s="173"/>
      <c r="AQ462" s="173"/>
      <c r="AR462" s="217"/>
      <c r="AS462" s="218"/>
    </row>
    <row r="463">
      <c r="A463" s="218"/>
      <c r="B463" s="173"/>
      <c r="C463" s="173"/>
      <c r="D463" s="173"/>
      <c r="E463" s="173"/>
      <c r="F463" s="173"/>
      <c r="G463" s="173"/>
      <c r="H463" s="173"/>
      <c r="I463" s="173"/>
      <c r="J463" s="173"/>
      <c r="K463" s="173"/>
      <c r="L463" s="173"/>
      <c r="M463" s="173"/>
      <c r="N463" s="173"/>
      <c r="O463" s="173"/>
      <c r="P463" s="173"/>
      <c r="Q463" s="173"/>
      <c r="R463" s="173"/>
      <c r="S463" s="173"/>
      <c r="T463" s="173"/>
      <c r="U463" s="173"/>
      <c r="V463" s="173"/>
      <c r="W463" s="173"/>
      <c r="X463" s="173"/>
      <c r="Y463" s="173"/>
      <c r="Z463" s="173"/>
      <c r="AA463" s="173"/>
      <c r="AB463" s="173"/>
      <c r="AC463" s="173"/>
      <c r="AD463" s="173"/>
      <c r="AE463" s="173"/>
      <c r="AF463" s="173"/>
      <c r="AG463" s="173"/>
      <c r="AH463" s="173"/>
      <c r="AI463" s="173"/>
      <c r="AJ463" s="173"/>
      <c r="AK463" s="173"/>
      <c r="AL463" s="173"/>
      <c r="AM463" s="173"/>
      <c r="AN463" s="173"/>
      <c r="AO463" s="173"/>
      <c r="AP463" s="173"/>
      <c r="AQ463" s="173"/>
      <c r="AR463" s="217"/>
      <c r="AS463" s="218"/>
    </row>
    <row r="464">
      <c r="A464" s="218"/>
      <c r="B464" s="173"/>
      <c r="C464" s="173"/>
      <c r="D464" s="173"/>
      <c r="E464" s="173"/>
      <c r="F464" s="173"/>
      <c r="G464" s="173"/>
      <c r="H464" s="173"/>
      <c r="I464" s="173"/>
      <c r="J464" s="173"/>
      <c r="K464" s="173"/>
      <c r="L464" s="173"/>
      <c r="M464" s="173"/>
      <c r="N464" s="173"/>
      <c r="O464" s="173"/>
      <c r="P464" s="173"/>
      <c r="Q464" s="173"/>
      <c r="R464" s="173"/>
      <c r="S464" s="173"/>
      <c r="T464" s="173"/>
      <c r="U464" s="173"/>
      <c r="V464" s="173"/>
      <c r="W464" s="173"/>
      <c r="X464" s="173"/>
      <c r="Y464" s="173"/>
      <c r="Z464" s="173"/>
      <c r="AA464" s="173"/>
      <c r="AB464" s="173"/>
      <c r="AC464" s="173"/>
      <c r="AD464" s="173"/>
      <c r="AE464" s="173"/>
      <c r="AF464" s="173"/>
      <c r="AG464" s="173"/>
      <c r="AH464" s="173"/>
      <c r="AI464" s="173"/>
      <c r="AJ464" s="173"/>
      <c r="AK464" s="173"/>
      <c r="AL464" s="173"/>
      <c r="AM464" s="173"/>
      <c r="AN464" s="173"/>
      <c r="AO464" s="173"/>
      <c r="AP464" s="173"/>
      <c r="AQ464" s="173"/>
      <c r="AR464" s="217"/>
      <c r="AS464" s="218"/>
    </row>
    <row r="465">
      <c r="A465" s="218"/>
      <c r="B465" s="173"/>
      <c r="C465" s="173"/>
      <c r="D465" s="173"/>
      <c r="E465" s="173"/>
      <c r="F465" s="173"/>
      <c r="G465" s="173"/>
      <c r="H465" s="173"/>
      <c r="I465" s="173"/>
      <c r="J465" s="173"/>
      <c r="K465" s="173"/>
      <c r="L465" s="173"/>
      <c r="M465" s="173"/>
      <c r="N465" s="173"/>
      <c r="O465" s="173"/>
      <c r="P465" s="173"/>
      <c r="Q465" s="173"/>
      <c r="R465" s="173"/>
      <c r="S465" s="173"/>
      <c r="T465" s="173"/>
      <c r="U465" s="173"/>
      <c r="V465" s="173"/>
      <c r="W465" s="173"/>
      <c r="X465" s="173"/>
      <c r="Y465" s="173"/>
      <c r="Z465" s="173"/>
      <c r="AA465" s="173"/>
      <c r="AB465" s="173"/>
      <c r="AC465" s="173"/>
      <c r="AD465" s="173"/>
      <c r="AE465" s="173"/>
      <c r="AF465" s="173"/>
      <c r="AG465" s="173"/>
      <c r="AH465" s="173"/>
      <c r="AI465" s="173"/>
      <c r="AJ465" s="173"/>
      <c r="AK465" s="173"/>
      <c r="AL465" s="173"/>
      <c r="AM465" s="173"/>
      <c r="AN465" s="173"/>
      <c r="AO465" s="173"/>
      <c r="AP465" s="173"/>
      <c r="AQ465" s="173"/>
      <c r="AR465" s="217"/>
      <c r="AS465" s="218"/>
    </row>
    <row r="466">
      <c r="A466" s="218"/>
      <c r="B466" s="173"/>
      <c r="C466" s="173"/>
      <c r="D466" s="173"/>
      <c r="E466" s="173"/>
      <c r="F466" s="173"/>
      <c r="G466" s="173"/>
      <c r="H466" s="173"/>
      <c r="I466" s="173"/>
      <c r="J466" s="173"/>
      <c r="K466" s="173"/>
      <c r="L466" s="173"/>
      <c r="M466" s="173"/>
      <c r="N466" s="173"/>
      <c r="O466" s="173"/>
      <c r="P466" s="173"/>
      <c r="Q466" s="173"/>
      <c r="R466" s="173"/>
      <c r="S466" s="173"/>
      <c r="T466" s="173"/>
      <c r="U466" s="173"/>
      <c r="V466" s="173"/>
      <c r="W466" s="173"/>
      <c r="X466" s="173"/>
      <c r="Y466" s="173"/>
      <c r="Z466" s="173"/>
      <c r="AA466" s="173"/>
      <c r="AB466" s="173"/>
      <c r="AC466" s="173"/>
      <c r="AD466" s="173"/>
      <c r="AE466" s="173"/>
      <c r="AF466" s="173"/>
      <c r="AG466" s="173"/>
      <c r="AH466" s="173"/>
      <c r="AI466" s="173"/>
      <c r="AJ466" s="173"/>
      <c r="AK466" s="173"/>
      <c r="AL466" s="173"/>
      <c r="AM466" s="173"/>
      <c r="AN466" s="173"/>
      <c r="AO466" s="173"/>
      <c r="AP466" s="173"/>
      <c r="AQ466" s="173"/>
      <c r="AR466" s="217"/>
      <c r="AS466" s="218"/>
    </row>
    <row r="467">
      <c r="A467" s="218"/>
      <c r="B467" s="173"/>
      <c r="C467" s="173"/>
      <c r="D467" s="173"/>
      <c r="E467" s="173"/>
      <c r="F467" s="173"/>
      <c r="G467" s="173"/>
      <c r="H467" s="173"/>
      <c r="I467" s="173"/>
      <c r="J467" s="173"/>
      <c r="K467" s="173"/>
      <c r="L467" s="173"/>
      <c r="M467" s="173"/>
      <c r="N467" s="173"/>
      <c r="O467" s="173"/>
      <c r="P467" s="173"/>
      <c r="Q467" s="173"/>
      <c r="R467" s="173"/>
      <c r="S467" s="173"/>
      <c r="T467" s="173"/>
      <c r="U467" s="173"/>
      <c r="V467" s="173"/>
      <c r="W467" s="173"/>
      <c r="X467" s="173"/>
      <c r="Y467" s="173"/>
      <c r="Z467" s="173"/>
      <c r="AA467" s="173"/>
      <c r="AB467" s="173"/>
      <c r="AC467" s="173"/>
      <c r="AD467" s="173"/>
      <c r="AE467" s="173"/>
      <c r="AF467" s="173"/>
      <c r="AG467" s="173"/>
      <c r="AH467" s="173"/>
      <c r="AI467" s="173"/>
      <c r="AJ467" s="173"/>
      <c r="AK467" s="173"/>
      <c r="AL467" s="173"/>
      <c r="AM467" s="173"/>
      <c r="AN467" s="173"/>
      <c r="AO467" s="173"/>
      <c r="AP467" s="173"/>
      <c r="AQ467" s="173"/>
      <c r="AR467" s="217"/>
      <c r="AS467" s="218"/>
    </row>
    <row r="468">
      <c r="A468" s="218"/>
      <c r="B468" s="173"/>
      <c r="C468" s="173"/>
      <c r="D468" s="173"/>
      <c r="E468" s="173"/>
      <c r="F468" s="173"/>
      <c r="G468" s="173"/>
      <c r="H468" s="173"/>
      <c r="I468" s="173"/>
      <c r="J468" s="173"/>
      <c r="K468" s="173"/>
      <c r="L468" s="173"/>
      <c r="M468" s="173"/>
      <c r="N468" s="173"/>
      <c r="O468" s="173"/>
      <c r="P468" s="173"/>
      <c r="Q468" s="173"/>
      <c r="R468" s="173"/>
      <c r="S468" s="173"/>
      <c r="T468" s="173"/>
      <c r="U468" s="173"/>
      <c r="V468" s="173"/>
      <c r="W468" s="173"/>
      <c r="X468" s="173"/>
      <c r="Y468" s="173"/>
      <c r="Z468" s="173"/>
      <c r="AA468" s="173"/>
      <c r="AB468" s="173"/>
      <c r="AC468" s="173"/>
      <c r="AD468" s="173"/>
      <c r="AE468" s="173"/>
      <c r="AF468" s="173"/>
      <c r="AG468" s="173"/>
      <c r="AH468" s="173"/>
      <c r="AI468" s="173"/>
      <c r="AJ468" s="173"/>
      <c r="AK468" s="173"/>
      <c r="AL468" s="173"/>
      <c r="AM468" s="173"/>
      <c r="AN468" s="173"/>
      <c r="AO468" s="173"/>
      <c r="AP468" s="173"/>
      <c r="AQ468" s="173"/>
      <c r="AR468" s="217"/>
      <c r="AS468" s="218"/>
    </row>
    <row r="469">
      <c r="A469" s="218"/>
      <c r="B469" s="173"/>
      <c r="C469" s="173"/>
      <c r="D469" s="173"/>
      <c r="E469" s="173"/>
      <c r="F469" s="173"/>
      <c r="G469" s="173"/>
      <c r="H469" s="173"/>
      <c r="I469" s="173"/>
      <c r="J469" s="173"/>
      <c r="K469" s="173"/>
      <c r="L469" s="173"/>
      <c r="M469" s="173"/>
      <c r="N469" s="173"/>
      <c r="O469" s="173"/>
      <c r="P469" s="173"/>
      <c r="Q469" s="173"/>
      <c r="R469" s="173"/>
      <c r="S469" s="173"/>
      <c r="T469" s="173"/>
      <c r="U469" s="173"/>
      <c r="V469" s="173"/>
      <c r="W469" s="173"/>
      <c r="X469" s="173"/>
      <c r="Y469" s="173"/>
      <c r="Z469" s="173"/>
      <c r="AA469" s="173"/>
      <c r="AB469" s="173"/>
      <c r="AC469" s="173"/>
      <c r="AD469" s="173"/>
      <c r="AE469" s="173"/>
      <c r="AF469" s="173"/>
      <c r="AG469" s="173"/>
      <c r="AH469" s="173"/>
      <c r="AI469" s="173"/>
      <c r="AJ469" s="173"/>
      <c r="AK469" s="173"/>
      <c r="AL469" s="173"/>
      <c r="AM469" s="173"/>
      <c r="AN469" s="173"/>
      <c r="AO469" s="173"/>
      <c r="AP469" s="173"/>
      <c r="AQ469" s="173"/>
      <c r="AR469" s="217"/>
      <c r="AS469" s="218"/>
    </row>
    <row r="470">
      <c r="A470" s="218"/>
      <c r="B470" s="173"/>
      <c r="C470" s="173"/>
      <c r="D470" s="173"/>
      <c r="E470" s="173"/>
      <c r="F470" s="173"/>
      <c r="G470" s="173"/>
      <c r="H470" s="173"/>
      <c r="I470" s="173"/>
      <c r="J470" s="173"/>
      <c r="K470" s="173"/>
      <c r="L470" s="173"/>
      <c r="M470" s="173"/>
      <c r="N470" s="173"/>
      <c r="O470" s="173"/>
      <c r="P470" s="173"/>
      <c r="Q470" s="173"/>
      <c r="R470" s="173"/>
      <c r="S470" s="173"/>
      <c r="T470" s="173"/>
      <c r="U470" s="173"/>
      <c r="V470" s="173"/>
      <c r="W470" s="173"/>
      <c r="X470" s="173"/>
      <c r="Y470" s="173"/>
      <c r="Z470" s="173"/>
      <c r="AA470" s="173"/>
      <c r="AB470" s="173"/>
      <c r="AC470" s="173"/>
      <c r="AD470" s="173"/>
      <c r="AE470" s="173"/>
      <c r="AF470" s="173"/>
      <c r="AG470" s="173"/>
      <c r="AH470" s="173"/>
      <c r="AI470" s="173"/>
      <c r="AJ470" s="173"/>
      <c r="AK470" s="173"/>
      <c r="AL470" s="173"/>
      <c r="AM470" s="173"/>
      <c r="AN470" s="173"/>
      <c r="AO470" s="173"/>
      <c r="AP470" s="173"/>
      <c r="AQ470" s="173"/>
      <c r="AR470" s="217"/>
      <c r="AS470" s="218"/>
    </row>
    <row r="471">
      <c r="A471" s="218"/>
      <c r="B471" s="173"/>
      <c r="C471" s="173"/>
      <c r="D471" s="173"/>
      <c r="E471" s="173"/>
      <c r="F471" s="173"/>
      <c r="G471" s="173"/>
      <c r="H471" s="173"/>
      <c r="I471" s="173"/>
      <c r="J471" s="173"/>
      <c r="K471" s="173"/>
      <c r="L471" s="173"/>
      <c r="M471" s="173"/>
      <c r="N471" s="173"/>
      <c r="O471" s="173"/>
      <c r="P471" s="173"/>
      <c r="Q471" s="173"/>
      <c r="R471" s="173"/>
      <c r="S471" s="173"/>
      <c r="T471" s="173"/>
      <c r="U471" s="173"/>
      <c r="V471" s="173"/>
      <c r="W471" s="173"/>
      <c r="X471" s="173"/>
      <c r="Y471" s="173"/>
      <c r="Z471" s="173"/>
      <c r="AA471" s="173"/>
      <c r="AB471" s="173"/>
      <c r="AC471" s="173"/>
      <c r="AD471" s="173"/>
      <c r="AE471" s="173"/>
      <c r="AF471" s="173"/>
      <c r="AG471" s="173"/>
      <c r="AH471" s="173"/>
      <c r="AI471" s="173"/>
      <c r="AJ471" s="173"/>
      <c r="AK471" s="173"/>
      <c r="AL471" s="173"/>
      <c r="AM471" s="173"/>
      <c r="AN471" s="173"/>
      <c r="AO471" s="173"/>
      <c r="AP471" s="173"/>
      <c r="AQ471" s="173"/>
      <c r="AR471" s="217"/>
      <c r="AS471" s="218"/>
    </row>
    <row r="472">
      <c r="A472" s="218"/>
      <c r="B472" s="173"/>
      <c r="C472" s="173"/>
      <c r="D472" s="173"/>
      <c r="E472" s="173"/>
      <c r="F472" s="173"/>
      <c r="G472" s="173"/>
      <c r="H472" s="173"/>
      <c r="I472" s="173"/>
      <c r="J472" s="173"/>
      <c r="K472" s="173"/>
      <c r="L472" s="173"/>
      <c r="M472" s="173"/>
      <c r="N472" s="173"/>
      <c r="O472" s="173"/>
      <c r="P472" s="173"/>
      <c r="Q472" s="173"/>
      <c r="R472" s="173"/>
      <c r="S472" s="173"/>
      <c r="T472" s="173"/>
      <c r="U472" s="173"/>
      <c r="V472" s="173"/>
      <c r="W472" s="173"/>
      <c r="X472" s="173"/>
      <c r="Y472" s="173"/>
      <c r="Z472" s="173"/>
      <c r="AA472" s="173"/>
      <c r="AB472" s="173"/>
      <c r="AC472" s="173"/>
      <c r="AD472" s="173"/>
      <c r="AE472" s="173"/>
      <c r="AF472" s="173"/>
      <c r="AG472" s="173"/>
      <c r="AH472" s="173"/>
      <c r="AI472" s="173"/>
      <c r="AJ472" s="173"/>
      <c r="AK472" s="173"/>
      <c r="AL472" s="173"/>
      <c r="AM472" s="173"/>
      <c r="AN472" s="173"/>
      <c r="AO472" s="173"/>
      <c r="AP472" s="173"/>
      <c r="AQ472" s="173"/>
      <c r="AR472" s="217"/>
      <c r="AS472" s="218"/>
    </row>
    <row r="473">
      <c r="A473" s="218"/>
      <c r="B473" s="173"/>
      <c r="C473" s="173"/>
      <c r="D473" s="173"/>
      <c r="E473" s="173"/>
      <c r="F473" s="173"/>
      <c r="G473" s="173"/>
      <c r="H473" s="173"/>
      <c r="I473" s="173"/>
      <c r="J473" s="173"/>
      <c r="K473" s="173"/>
      <c r="L473" s="173"/>
      <c r="M473" s="173"/>
      <c r="N473" s="173"/>
      <c r="O473" s="173"/>
      <c r="P473" s="173"/>
      <c r="Q473" s="173"/>
      <c r="R473" s="173"/>
      <c r="S473" s="173"/>
      <c r="T473" s="173"/>
      <c r="U473" s="173"/>
      <c r="V473" s="173"/>
      <c r="W473" s="173"/>
      <c r="X473" s="173"/>
      <c r="Y473" s="173"/>
      <c r="Z473" s="173"/>
      <c r="AA473" s="173"/>
      <c r="AB473" s="173"/>
      <c r="AC473" s="173"/>
      <c r="AD473" s="173"/>
      <c r="AE473" s="173"/>
      <c r="AF473" s="173"/>
      <c r="AG473" s="173"/>
      <c r="AH473" s="173"/>
      <c r="AI473" s="173"/>
      <c r="AJ473" s="173"/>
      <c r="AK473" s="173"/>
      <c r="AL473" s="173"/>
      <c r="AM473" s="173"/>
      <c r="AN473" s="173"/>
      <c r="AO473" s="173"/>
      <c r="AP473" s="173"/>
      <c r="AQ473" s="173"/>
      <c r="AR473" s="217"/>
      <c r="AS473" s="218"/>
    </row>
    <row r="474">
      <c r="A474" s="218"/>
      <c r="B474" s="173"/>
      <c r="C474" s="173"/>
      <c r="D474" s="173"/>
      <c r="E474" s="173"/>
      <c r="F474" s="173"/>
      <c r="G474" s="173"/>
      <c r="H474" s="173"/>
      <c r="I474" s="173"/>
      <c r="J474" s="173"/>
      <c r="K474" s="173"/>
      <c r="L474" s="173"/>
      <c r="M474" s="173"/>
      <c r="N474" s="173"/>
      <c r="O474" s="173"/>
      <c r="P474" s="173"/>
      <c r="Q474" s="173"/>
      <c r="R474" s="173"/>
      <c r="S474" s="173"/>
      <c r="T474" s="173"/>
      <c r="U474" s="173"/>
      <c r="V474" s="173"/>
      <c r="W474" s="173"/>
      <c r="X474" s="173"/>
      <c r="Y474" s="173"/>
      <c r="Z474" s="173"/>
      <c r="AA474" s="173"/>
      <c r="AB474" s="173"/>
      <c r="AC474" s="173"/>
      <c r="AD474" s="173"/>
      <c r="AE474" s="173"/>
      <c r="AF474" s="173"/>
      <c r="AG474" s="173"/>
      <c r="AH474" s="173"/>
      <c r="AI474" s="173"/>
      <c r="AJ474" s="173"/>
      <c r="AK474" s="173"/>
      <c r="AL474" s="173"/>
      <c r="AM474" s="173"/>
      <c r="AN474" s="173"/>
      <c r="AO474" s="173"/>
      <c r="AP474" s="173"/>
      <c r="AQ474" s="173"/>
      <c r="AR474" s="217"/>
      <c r="AS474" s="218"/>
    </row>
    <row r="475">
      <c r="A475" s="218"/>
      <c r="B475" s="173"/>
      <c r="C475" s="173"/>
      <c r="D475" s="173"/>
      <c r="E475" s="173"/>
      <c r="F475" s="173"/>
      <c r="G475" s="173"/>
      <c r="H475" s="173"/>
      <c r="I475" s="173"/>
      <c r="J475" s="173"/>
      <c r="K475" s="173"/>
      <c r="L475" s="173"/>
      <c r="M475" s="173"/>
      <c r="N475" s="173"/>
      <c r="O475" s="173"/>
      <c r="P475" s="173"/>
      <c r="Q475" s="173"/>
      <c r="R475" s="173"/>
      <c r="S475" s="173"/>
      <c r="T475" s="173"/>
      <c r="U475" s="173"/>
      <c r="V475" s="173"/>
      <c r="W475" s="173"/>
      <c r="X475" s="173"/>
      <c r="Y475" s="173"/>
      <c r="Z475" s="173"/>
      <c r="AA475" s="173"/>
      <c r="AB475" s="173"/>
      <c r="AC475" s="173"/>
      <c r="AD475" s="173"/>
      <c r="AE475" s="173"/>
      <c r="AF475" s="173"/>
      <c r="AG475" s="173"/>
      <c r="AH475" s="173"/>
      <c r="AI475" s="173"/>
      <c r="AJ475" s="173"/>
      <c r="AK475" s="173"/>
      <c r="AL475" s="173"/>
      <c r="AM475" s="173"/>
      <c r="AN475" s="173"/>
      <c r="AO475" s="173"/>
      <c r="AP475" s="173"/>
      <c r="AQ475" s="173"/>
      <c r="AR475" s="217"/>
      <c r="AS475" s="218"/>
    </row>
    <row r="476">
      <c r="A476" s="218"/>
      <c r="B476" s="173"/>
      <c r="C476" s="173"/>
      <c r="D476" s="173"/>
      <c r="E476" s="173"/>
      <c r="F476" s="173"/>
      <c r="G476" s="173"/>
      <c r="H476" s="173"/>
      <c r="I476" s="173"/>
      <c r="J476" s="173"/>
      <c r="K476" s="173"/>
      <c r="L476" s="173"/>
      <c r="M476" s="173"/>
      <c r="N476" s="173"/>
      <c r="O476" s="173"/>
      <c r="P476" s="173"/>
      <c r="Q476" s="173"/>
      <c r="R476" s="173"/>
      <c r="S476" s="173"/>
      <c r="T476" s="173"/>
      <c r="U476" s="173"/>
      <c r="V476" s="173"/>
      <c r="W476" s="173"/>
      <c r="X476" s="173"/>
      <c r="Y476" s="173"/>
      <c r="Z476" s="173"/>
      <c r="AA476" s="173"/>
      <c r="AB476" s="173"/>
      <c r="AC476" s="173"/>
      <c r="AD476" s="173"/>
      <c r="AE476" s="173"/>
      <c r="AF476" s="173"/>
      <c r="AG476" s="173"/>
      <c r="AH476" s="173"/>
      <c r="AI476" s="173"/>
      <c r="AJ476" s="173"/>
      <c r="AK476" s="173"/>
      <c r="AL476" s="173"/>
      <c r="AM476" s="173"/>
      <c r="AN476" s="173"/>
      <c r="AO476" s="173"/>
      <c r="AP476" s="173"/>
      <c r="AQ476" s="173"/>
      <c r="AR476" s="217"/>
      <c r="AS476" s="218"/>
    </row>
    <row r="477">
      <c r="A477" s="218"/>
      <c r="B477" s="173"/>
      <c r="C477" s="173"/>
      <c r="D477" s="173"/>
      <c r="E477" s="173"/>
      <c r="F477" s="173"/>
      <c r="G477" s="173"/>
      <c r="H477" s="173"/>
      <c r="I477" s="173"/>
      <c r="J477" s="173"/>
      <c r="K477" s="173"/>
      <c r="L477" s="173"/>
      <c r="M477" s="173"/>
      <c r="N477" s="173"/>
      <c r="O477" s="173"/>
      <c r="P477" s="173"/>
      <c r="Q477" s="173"/>
      <c r="R477" s="173"/>
      <c r="S477" s="173"/>
      <c r="T477" s="173"/>
      <c r="U477" s="173"/>
      <c r="V477" s="173"/>
      <c r="W477" s="173"/>
      <c r="X477" s="173"/>
      <c r="Y477" s="173"/>
      <c r="Z477" s="173"/>
      <c r="AA477" s="173"/>
      <c r="AB477" s="173"/>
      <c r="AC477" s="173"/>
      <c r="AD477" s="173"/>
      <c r="AE477" s="173"/>
      <c r="AF477" s="173"/>
      <c r="AG477" s="173"/>
      <c r="AH477" s="173"/>
      <c r="AI477" s="173"/>
      <c r="AJ477" s="173"/>
      <c r="AK477" s="173"/>
      <c r="AL477" s="173"/>
      <c r="AM477" s="173"/>
      <c r="AN477" s="173"/>
      <c r="AO477" s="173"/>
      <c r="AP477" s="173"/>
      <c r="AQ477" s="173"/>
      <c r="AR477" s="217"/>
      <c r="AS477" s="218"/>
    </row>
    <row r="478">
      <c r="A478" s="218"/>
      <c r="B478" s="173"/>
      <c r="C478" s="173"/>
      <c r="D478" s="173"/>
      <c r="E478" s="173"/>
      <c r="F478" s="173"/>
      <c r="G478" s="173"/>
      <c r="H478" s="173"/>
      <c r="I478" s="173"/>
      <c r="J478" s="173"/>
      <c r="K478" s="173"/>
      <c r="L478" s="173"/>
      <c r="M478" s="173"/>
      <c r="N478" s="173"/>
      <c r="O478" s="173"/>
      <c r="P478" s="173"/>
      <c r="Q478" s="173"/>
      <c r="R478" s="173"/>
      <c r="S478" s="173"/>
      <c r="T478" s="173"/>
      <c r="U478" s="173"/>
      <c r="V478" s="173"/>
      <c r="W478" s="173"/>
      <c r="X478" s="173"/>
      <c r="Y478" s="173"/>
      <c r="Z478" s="173"/>
      <c r="AA478" s="173"/>
      <c r="AB478" s="173"/>
      <c r="AC478" s="173"/>
      <c r="AD478" s="173"/>
      <c r="AE478" s="173"/>
      <c r="AF478" s="173"/>
      <c r="AG478" s="173"/>
      <c r="AH478" s="173"/>
      <c r="AI478" s="173"/>
      <c r="AJ478" s="173"/>
      <c r="AK478" s="173"/>
      <c r="AL478" s="173"/>
      <c r="AM478" s="173"/>
      <c r="AN478" s="173"/>
      <c r="AO478" s="173"/>
      <c r="AP478" s="173"/>
      <c r="AQ478" s="173"/>
      <c r="AR478" s="217"/>
      <c r="AS478" s="218"/>
    </row>
    <row r="479">
      <c r="A479" s="218"/>
      <c r="B479" s="173"/>
      <c r="C479" s="173"/>
      <c r="D479" s="173"/>
      <c r="E479" s="173"/>
      <c r="F479" s="173"/>
      <c r="G479" s="173"/>
      <c r="H479" s="173"/>
      <c r="I479" s="173"/>
      <c r="J479" s="173"/>
      <c r="K479" s="173"/>
      <c r="L479" s="173"/>
      <c r="M479" s="173"/>
      <c r="N479" s="173"/>
      <c r="O479" s="173"/>
      <c r="P479" s="173"/>
      <c r="Q479" s="173"/>
      <c r="R479" s="173"/>
      <c r="S479" s="173"/>
      <c r="T479" s="173"/>
      <c r="U479" s="173"/>
      <c r="V479" s="173"/>
      <c r="W479" s="173"/>
      <c r="X479" s="173"/>
      <c r="Y479" s="173"/>
      <c r="Z479" s="173"/>
      <c r="AA479" s="173"/>
      <c r="AB479" s="173"/>
      <c r="AC479" s="173"/>
      <c r="AD479" s="173"/>
      <c r="AE479" s="173"/>
      <c r="AF479" s="173"/>
      <c r="AG479" s="173"/>
      <c r="AH479" s="173"/>
      <c r="AI479" s="173"/>
      <c r="AJ479" s="173"/>
      <c r="AK479" s="173"/>
      <c r="AL479" s="173"/>
      <c r="AM479" s="173"/>
      <c r="AN479" s="173"/>
      <c r="AO479" s="173"/>
      <c r="AP479" s="173"/>
      <c r="AQ479" s="173"/>
      <c r="AR479" s="217"/>
      <c r="AS479" s="218"/>
    </row>
    <row r="480">
      <c r="A480" s="218"/>
      <c r="B480" s="173"/>
      <c r="C480" s="173"/>
      <c r="D480" s="173"/>
      <c r="E480" s="173"/>
      <c r="F480" s="173"/>
      <c r="G480" s="173"/>
      <c r="H480" s="173"/>
      <c r="I480" s="173"/>
      <c r="J480" s="173"/>
      <c r="K480" s="173"/>
      <c r="L480" s="173"/>
      <c r="M480" s="173"/>
      <c r="N480" s="173"/>
      <c r="O480" s="173"/>
      <c r="P480" s="173"/>
      <c r="Q480" s="173"/>
      <c r="R480" s="173"/>
      <c r="S480" s="173"/>
      <c r="T480" s="173"/>
      <c r="U480" s="173"/>
      <c r="V480" s="173"/>
      <c r="W480" s="173"/>
      <c r="X480" s="173"/>
      <c r="Y480" s="173"/>
      <c r="Z480" s="173"/>
      <c r="AA480" s="173"/>
      <c r="AB480" s="173"/>
      <c r="AC480" s="173"/>
      <c r="AD480" s="173"/>
      <c r="AE480" s="173"/>
      <c r="AF480" s="173"/>
      <c r="AG480" s="173"/>
      <c r="AH480" s="173"/>
      <c r="AI480" s="173"/>
      <c r="AJ480" s="173"/>
      <c r="AK480" s="173"/>
      <c r="AL480" s="173"/>
      <c r="AM480" s="173"/>
      <c r="AN480" s="173"/>
      <c r="AO480" s="173"/>
      <c r="AP480" s="173"/>
      <c r="AQ480" s="173"/>
      <c r="AR480" s="217"/>
      <c r="AS480" s="218"/>
    </row>
    <row r="481">
      <c r="A481" s="218"/>
      <c r="B481" s="173"/>
      <c r="C481" s="173"/>
      <c r="D481" s="173"/>
      <c r="E481" s="173"/>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217"/>
      <c r="AS481" s="218"/>
    </row>
    <row r="482">
      <c r="A482" s="218"/>
      <c r="B482" s="173"/>
      <c r="C482" s="173"/>
      <c r="D482" s="173"/>
      <c r="E482" s="173"/>
      <c r="F482" s="173"/>
      <c r="G482" s="173"/>
      <c r="H482" s="173"/>
      <c r="I482" s="173"/>
      <c r="J482" s="173"/>
      <c r="K482" s="173"/>
      <c r="L482" s="173"/>
      <c r="M482" s="173"/>
      <c r="N482" s="173"/>
      <c r="O482" s="173"/>
      <c r="P482" s="173"/>
      <c r="Q482" s="173"/>
      <c r="R482" s="173"/>
      <c r="S482" s="173"/>
      <c r="T482" s="173"/>
      <c r="U482" s="173"/>
      <c r="V482" s="173"/>
      <c r="W482" s="173"/>
      <c r="X482" s="173"/>
      <c r="Y482" s="173"/>
      <c r="Z482" s="173"/>
      <c r="AA482" s="173"/>
      <c r="AB482" s="173"/>
      <c r="AC482" s="173"/>
      <c r="AD482" s="173"/>
      <c r="AE482" s="173"/>
      <c r="AF482" s="173"/>
      <c r="AG482" s="173"/>
      <c r="AH482" s="173"/>
      <c r="AI482" s="173"/>
      <c r="AJ482" s="173"/>
      <c r="AK482" s="173"/>
      <c r="AL482" s="173"/>
      <c r="AM482" s="173"/>
      <c r="AN482" s="173"/>
      <c r="AO482" s="173"/>
      <c r="AP482" s="173"/>
      <c r="AQ482" s="173"/>
      <c r="AR482" s="217"/>
      <c r="AS482" s="218"/>
    </row>
    <row r="483">
      <c r="A483" s="218"/>
      <c r="B483" s="173"/>
      <c r="C483" s="173"/>
      <c r="D483" s="173"/>
      <c r="E483" s="173"/>
      <c r="F483" s="173"/>
      <c r="G483" s="173"/>
      <c r="H483" s="173"/>
      <c r="I483" s="173"/>
      <c r="J483" s="173"/>
      <c r="K483" s="173"/>
      <c r="L483" s="173"/>
      <c r="M483" s="173"/>
      <c r="N483" s="173"/>
      <c r="O483" s="173"/>
      <c r="P483" s="173"/>
      <c r="Q483" s="173"/>
      <c r="R483" s="173"/>
      <c r="S483" s="173"/>
      <c r="T483" s="173"/>
      <c r="U483" s="173"/>
      <c r="V483" s="173"/>
      <c r="W483" s="173"/>
      <c r="X483" s="173"/>
      <c r="Y483" s="173"/>
      <c r="Z483" s="173"/>
      <c r="AA483" s="173"/>
      <c r="AB483" s="173"/>
      <c r="AC483" s="173"/>
      <c r="AD483" s="173"/>
      <c r="AE483" s="173"/>
      <c r="AF483" s="173"/>
      <c r="AG483" s="173"/>
      <c r="AH483" s="173"/>
      <c r="AI483" s="173"/>
      <c r="AJ483" s="173"/>
      <c r="AK483" s="173"/>
      <c r="AL483" s="173"/>
      <c r="AM483" s="173"/>
      <c r="AN483" s="173"/>
      <c r="AO483" s="173"/>
      <c r="AP483" s="173"/>
      <c r="AQ483" s="173"/>
      <c r="AR483" s="217"/>
      <c r="AS483" s="218"/>
    </row>
    <row r="484">
      <c r="A484" s="218"/>
      <c r="B484" s="173"/>
      <c r="C484" s="173"/>
      <c r="D484" s="173"/>
      <c r="E484" s="173"/>
      <c r="F484" s="173"/>
      <c r="G484" s="173"/>
      <c r="H484" s="173"/>
      <c r="I484" s="173"/>
      <c r="J484" s="173"/>
      <c r="K484" s="173"/>
      <c r="L484" s="173"/>
      <c r="M484" s="173"/>
      <c r="N484" s="173"/>
      <c r="O484" s="173"/>
      <c r="P484" s="173"/>
      <c r="Q484" s="173"/>
      <c r="R484" s="173"/>
      <c r="S484" s="173"/>
      <c r="T484" s="173"/>
      <c r="U484" s="173"/>
      <c r="V484" s="173"/>
      <c r="W484" s="173"/>
      <c r="X484" s="173"/>
      <c r="Y484" s="173"/>
      <c r="Z484" s="173"/>
      <c r="AA484" s="173"/>
      <c r="AB484" s="173"/>
      <c r="AC484" s="173"/>
      <c r="AD484" s="173"/>
      <c r="AE484" s="173"/>
      <c r="AF484" s="173"/>
      <c r="AG484" s="173"/>
      <c r="AH484" s="173"/>
      <c r="AI484" s="173"/>
      <c r="AJ484" s="173"/>
      <c r="AK484" s="173"/>
      <c r="AL484" s="173"/>
      <c r="AM484" s="173"/>
      <c r="AN484" s="173"/>
      <c r="AO484" s="173"/>
      <c r="AP484" s="173"/>
      <c r="AQ484" s="173"/>
      <c r="AR484" s="217"/>
      <c r="AS484" s="218"/>
    </row>
    <row r="485">
      <c r="A485" s="218"/>
      <c r="B485" s="173"/>
      <c r="C485" s="173"/>
      <c r="D485" s="173"/>
      <c r="E485" s="173"/>
      <c r="F485" s="173"/>
      <c r="G485" s="173"/>
      <c r="H485" s="173"/>
      <c r="I485" s="173"/>
      <c r="J485" s="173"/>
      <c r="K485" s="173"/>
      <c r="L485" s="173"/>
      <c r="M485" s="173"/>
      <c r="N485" s="173"/>
      <c r="O485" s="173"/>
      <c r="P485" s="173"/>
      <c r="Q485" s="173"/>
      <c r="R485" s="173"/>
      <c r="S485" s="173"/>
      <c r="T485" s="173"/>
      <c r="U485" s="173"/>
      <c r="V485" s="173"/>
      <c r="W485" s="173"/>
      <c r="X485" s="173"/>
      <c r="Y485" s="173"/>
      <c r="Z485" s="173"/>
      <c r="AA485" s="173"/>
      <c r="AB485" s="173"/>
      <c r="AC485" s="173"/>
      <c r="AD485" s="173"/>
      <c r="AE485" s="173"/>
      <c r="AF485" s="173"/>
      <c r="AG485" s="173"/>
      <c r="AH485" s="173"/>
      <c r="AI485" s="173"/>
      <c r="AJ485" s="173"/>
      <c r="AK485" s="173"/>
      <c r="AL485" s="173"/>
      <c r="AM485" s="173"/>
      <c r="AN485" s="173"/>
      <c r="AO485" s="173"/>
      <c r="AP485" s="173"/>
      <c r="AQ485" s="173"/>
      <c r="AR485" s="217"/>
      <c r="AS485" s="218"/>
    </row>
    <row r="486">
      <c r="A486" s="218"/>
      <c r="B486" s="173"/>
      <c r="C486" s="173"/>
      <c r="D486" s="173"/>
      <c r="E486" s="173"/>
      <c r="F486" s="173"/>
      <c r="G486" s="173"/>
      <c r="H486" s="173"/>
      <c r="I486" s="173"/>
      <c r="J486" s="173"/>
      <c r="K486" s="173"/>
      <c r="L486" s="173"/>
      <c r="M486" s="173"/>
      <c r="N486" s="173"/>
      <c r="O486" s="173"/>
      <c r="P486" s="173"/>
      <c r="Q486" s="173"/>
      <c r="R486" s="173"/>
      <c r="S486" s="173"/>
      <c r="T486" s="173"/>
      <c r="U486" s="173"/>
      <c r="V486" s="173"/>
      <c r="W486" s="173"/>
      <c r="X486" s="173"/>
      <c r="Y486" s="173"/>
      <c r="Z486" s="173"/>
      <c r="AA486" s="173"/>
      <c r="AB486" s="173"/>
      <c r="AC486" s="173"/>
      <c r="AD486" s="173"/>
      <c r="AE486" s="173"/>
      <c r="AF486" s="173"/>
      <c r="AG486" s="173"/>
      <c r="AH486" s="173"/>
      <c r="AI486" s="173"/>
      <c r="AJ486" s="173"/>
      <c r="AK486" s="173"/>
      <c r="AL486" s="173"/>
      <c r="AM486" s="173"/>
      <c r="AN486" s="173"/>
      <c r="AO486" s="173"/>
      <c r="AP486" s="173"/>
      <c r="AQ486" s="173"/>
      <c r="AR486" s="217"/>
      <c r="AS486" s="218"/>
    </row>
    <row r="487">
      <c r="A487" s="218"/>
      <c r="B487" s="173"/>
      <c r="C487" s="173"/>
      <c r="D487" s="173"/>
      <c r="E487" s="173"/>
      <c r="F487" s="173"/>
      <c r="G487" s="173"/>
      <c r="H487" s="173"/>
      <c r="I487" s="173"/>
      <c r="J487" s="173"/>
      <c r="K487" s="173"/>
      <c r="L487" s="173"/>
      <c r="M487" s="173"/>
      <c r="N487" s="173"/>
      <c r="O487" s="173"/>
      <c r="P487" s="173"/>
      <c r="Q487" s="173"/>
      <c r="R487" s="173"/>
      <c r="S487" s="173"/>
      <c r="T487" s="173"/>
      <c r="U487" s="173"/>
      <c r="V487" s="173"/>
      <c r="W487" s="173"/>
      <c r="X487" s="173"/>
      <c r="Y487" s="173"/>
      <c r="Z487" s="173"/>
      <c r="AA487" s="173"/>
      <c r="AB487" s="173"/>
      <c r="AC487" s="173"/>
      <c r="AD487" s="173"/>
      <c r="AE487" s="173"/>
      <c r="AF487" s="173"/>
      <c r="AG487" s="173"/>
      <c r="AH487" s="173"/>
      <c r="AI487" s="173"/>
      <c r="AJ487" s="173"/>
      <c r="AK487" s="173"/>
      <c r="AL487" s="173"/>
      <c r="AM487" s="173"/>
      <c r="AN487" s="173"/>
      <c r="AO487" s="173"/>
      <c r="AP487" s="173"/>
      <c r="AQ487" s="173"/>
      <c r="AR487" s="217"/>
      <c r="AS487" s="218"/>
    </row>
    <row r="488">
      <c r="A488" s="218"/>
      <c r="B488" s="173"/>
      <c r="C488" s="173"/>
      <c r="D488" s="173"/>
      <c r="E488" s="173"/>
      <c r="F488" s="173"/>
      <c r="G488" s="173"/>
      <c r="H488" s="173"/>
      <c r="I488" s="173"/>
      <c r="J488" s="173"/>
      <c r="K488" s="173"/>
      <c r="L488" s="173"/>
      <c r="M488" s="173"/>
      <c r="N488" s="173"/>
      <c r="O488" s="173"/>
      <c r="P488" s="173"/>
      <c r="Q488" s="173"/>
      <c r="R488" s="173"/>
      <c r="S488" s="173"/>
      <c r="T488" s="173"/>
      <c r="U488" s="173"/>
      <c r="V488" s="173"/>
      <c r="W488" s="173"/>
      <c r="X488" s="173"/>
      <c r="Y488" s="173"/>
      <c r="Z488" s="173"/>
      <c r="AA488" s="173"/>
      <c r="AB488" s="173"/>
      <c r="AC488" s="173"/>
      <c r="AD488" s="173"/>
      <c r="AE488" s="173"/>
      <c r="AF488" s="173"/>
      <c r="AG488" s="173"/>
      <c r="AH488" s="173"/>
      <c r="AI488" s="173"/>
      <c r="AJ488" s="173"/>
      <c r="AK488" s="173"/>
      <c r="AL488" s="173"/>
      <c r="AM488" s="173"/>
      <c r="AN488" s="173"/>
      <c r="AO488" s="173"/>
      <c r="AP488" s="173"/>
      <c r="AQ488" s="173"/>
      <c r="AR488" s="217"/>
      <c r="AS488" s="218"/>
    </row>
    <row r="489">
      <c r="A489" s="218"/>
      <c r="B489" s="173"/>
      <c r="C489" s="173"/>
      <c r="D489" s="173"/>
      <c r="E489" s="173"/>
      <c r="F489" s="173"/>
      <c r="G489" s="173"/>
      <c r="H489" s="173"/>
      <c r="I489" s="173"/>
      <c r="J489" s="173"/>
      <c r="K489" s="173"/>
      <c r="L489" s="173"/>
      <c r="M489" s="173"/>
      <c r="N489" s="173"/>
      <c r="O489" s="173"/>
      <c r="P489" s="173"/>
      <c r="Q489" s="173"/>
      <c r="R489" s="173"/>
      <c r="S489" s="173"/>
      <c r="T489" s="173"/>
      <c r="U489" s="173"/>
      <c r="V489" s="173"/>
      <c r="W489" s="173"/>
      <c r="X489" s="173"/>
      <c r="Y489" s="173"/>
      <c r="Z489" s="173"/>
      <c r="AA489" s="173"/>
      <c r="AB489" s="173"/>
      <c r="AC489" s="173"/>
      <c r="AD489" s="173"/>
      <c r="AE489" s="173"/>
      <c r="AF489" s="173"/>
      <c r="AG489" s="173"/>
      <c r="AH489" s="173"/>
      <c r="AI489" s="173"/>
      <c r="AJ489" s="173"/>
      <c r="AK489" s="173"/>
      <c r="AL489" s="173"/>
      <c r="AM489" s="173"/>
      <c r="AN489" s="173"/>
      <c r="AO489" s="173"/>
      <c r="AP489" s="173"/>
      <c r="AQ489" s="173"/>
      <c r="AR489" s="217"/>
      <c r="AS489" s="218"/>
    </row>
    <row r="490">
      <c r="A490" s="218"/>
      <c r="B490" s="173"/>
      <c r="C490" s="173"/>
      <c r="D490" s="173"/>
      <c r="E490" s="173"/>
      <c r="F490" s="173"/>
      <c r="G490" s="173"/>
      <c r="H490" s="173"/>
      <c r="I490" s="173"/>
      <c r="J490" s="173"/>
      <c r="K490" s="173"/>
      <c r="L490" s="173"/>
      <c r="M490" s="173"/>
      <c r="N490" s="173"/>
      <c r="O490" s="173"/>
      <c r="P490" s="173"/>
      <c r="Q490" s="173"/>
      <c r="R490" s="173"/>
      <c r="S490" s="173"/>
      <c r="T490" s="173"/>
      <c r="U490" s="173"/>
      <c r="V490" s="173"/>
      <c r="W490" s="173"/>
      <c r="X490" s="173"/>
      <c r="Y490" s="173"/>
      <c r="Z490" s="173"/>
      <c r="AA490" s="173"/>
      <c r="AB490" s="173"/>
      <c r="AC490" s="173"/>
      <c r="AD490" s="173"/>
      <c r="AE490" s="173"/>
      <c r="AF490" s="173"/>
      <c r="AG490" s="173"/>
      <c r="AH490" s="173"/>
      <c r="AI490" s="173"/>
      <c r="AJ490" s="173"/>
      <c r="AK490" s="173"/>
      <c r="AL490" s="173"/>
      <c r="AM490" s="173"/>
      <c r="AN490" s="173"/>
      <c r="AO490" s="173"/>
      <c r="AP490" s="173"/>
      <c r="AQ490" s="173"/>
      <c r="AR490" s="217"/>
      <c r="AS490" s="218"/>
    </row>
    <row r="491">
      <c r="A491" s="218"/>
      <c r="B491" s="173"/>
      <c r="C491" s="173"/>
      <c r="D491" s="173"/>
      <c r="E491" s="173"/>
      <c r="F491" s="173"/>
      <c r="G491" s="173"/>
      <c r="H491" s="173"/>
      <c r="I491" s="173"/>
      <c r="J491" s="173"/>
      <c r="K491" s="173"/>
      <c r="L491" s="173"/>
      <c r="M491" s="173"/>
      <c r="N491" s="173"/>
      <c r="O491" s="173"/>
      <c r="P491" s="173"/>
      <c r="Q491" s="173"/>
      <c r="R491" s="173"/>
      <c r="S491" s="173"/>
      <c r="T491" s="173"/>
      <c r="U491" s="173"/>
      <c r="V491" s="173"/>
      <c r="W491" s="173"/>
      <c r="X491" s="173"/>
      <c r="Y491" s="173"/>
      <c r="Z491" s="173"/>
      <c r="AA491" s="173"/>
      <c r="AB491" s="173"/>
      <c r="AC491" s="173"/>
      <c r="AD491" s="173"/>
      <c r="AE491" s="173"/>
      <c r="AF491" s="173"/>
      <c r="AG491" s="173"/>
      <c r="AH491" s="173"/>
      <c r="AI491" s="173"/>
      <c r="AJ491" s="173"/>
      <c r="AK491" s="173"/>
      <c r="AL491" s="173"/>
      <c r="AM491" s="173"/>
      <c r="AN491" s="173"/>
      <c r="AO491" s="173"/>
      <c r="AP491" s="173"/>
      <c r="AQ491" s="173"/>
      <c r="AR491" s="217"/>
      <c r="AS491" s="218"/>
    </row>
    <row r="492">
      <c r="A492" s="218"/>
      <c r="B492" s="173"/>
      <c r="C492" s="173"/>
      <c r="D492" s="173"/>
      <c r="E492" s="173"/>
      <c r="F492" s="173"/>
      <c r="G492" s="173"/>
      <c r="H492" s="173"/>
      <c r="I492" s="173"/>
      <c r="J492" s="173"/>
      <c r="K492" s="173"/>
      <c r="L492" s="173"/>
      <c r="M492" s="173"/>
      <c r="N492" s="173"/>
      <c r="O492" s="173"/>
      <c r="P492" s="173"/>
      <c r="Q492" s="173"/>
      <c r="R492" s="173"/>
      <c r="S492" s="173"/>
      <c r="T492" s="173"/>
      <c r="U492" s="173"/>
      <c r="V492" s="173"/>
      <c r="W492" s="173"/>
      <c r="X492" s="173"/>
      <c r="Y492" s="173"/>
      <c r="Z492" s="173"/>
      <c r="AA492" s="173"/>
      <c r="AB492" s="173"/>
      <c r="AC492" s="173"/>
      <c r="AD492" s="173"/>
      <c r="AE492" s="173"/>
      <c r="AF492" s="173"/>
      <c r="AG492" s="173"/>
      <c r="AH492" s="173"/>
      <c r="AI492" s="173"/>
      <c r="AJ492" s="173"/>
      <c r="AK492" s="173"/>
      <c r="AL492" s="173"/>
      <c r="AM492" s="173"/>
      <c r="AN492" s="173"/>
      <c r="AO492" s="173"/>
      <c r="AP492" s="173"/>
      <c r="AQ492" s="173"/>
      <c r="AR492" s="217"/>
      <c r="AS492" s="218"/>
    </row>
    <row r="493">
      <c r="A493" s="218"/>
      <c r="B493" s="173"/>
      <c r="C493" s="173"/>
      <c r="D493" s="173"/>
      <c r="E493" s="173"/>
      <c r="F493" s="173"/>
      <c r="G493" s="173"/>
      <c r="H493" s="173"/>
      <c r="I493" s="173"/>
      <c r="J493" s="173"/>
      <c r="K493" s="173"/>
      <c r="L493" s="173"/>
      <c r="M493" s="173"/>
      <c r="N493" s="173"/>
      <c r="O493" s="173"/>
      <c r="P493" s="173"/>
      <c r="Q493" s="173"/>
      <c r="R493" s="173"/>
      <c r="S493" s="173"/>
      <c r="T493" s="173"/>
      <c r="U493" s="173"/>
      <c r="V493" s="173"/>
      <c r="W493" s="173"/>
      <c r="X493" s="173"/>
      <c r="Y493" s="173"/>
      <c r="Z493" s="173"/>
      <c r="AA493" s="173"/>
      <c r="AB493" s="173"/>
      <c r="AC493" s="173"/>
      <c r="AD493" s="173"/>
      <c r="AE493" s="173"/>
      <c r="AF493" s="173"/>
      <c r="AG493" s="173"/>
      <c r="AH493" s="173"/>
      <c r="AI493" s="173"/>
      <c r="AJ493" s="173"/>
      <c r="AK493" s="173"/>
      <c r="AL493" s="173"/>
      <c r="AM493" s="173"/>
      <c r="AN493" s="173"/>
      <c r="AO493" s="173"/>
      <c r="AP493" s="173"/>
      <c r="AQ493" s="173"/>
      <c r="AR493" s="217"/>
      <c r="AS493" s="218"/>
    </row>
    <row r="494">
      <c r="A494" s="218"/>
      <c r="B494" s="173"/>
      <c r="C494" s="173"/>
      <c r="D494" s="173"/>
      <c r="E494" s="173"/>
      <c r="F494" s="173"/>
      <c r="G494" s="173"/>
      <c r="H494" s="173"/>
      <c r="I494" s="173"/>
      <c r="J494" s="173"/>
      <c r="K494" s="173"/>
      <c r="L494" s="173"/>
      <c r="M494" s="173"/>
      <c r="N494" s="173"/>
      <c r="O494" s="173"/>
      <c r="P494" s="173"/>
      <c r="Q494" s="173"/>
      <c r="R494" s="173"/>
      <c r="S494" s="173"/>
      <c r="T494" s="173"/>
      <c r="U494" s="173"/>
      <c r="V494" s="173"/>
      <c r="W494" s="173"/>
      <c r="X494" s="173"/>
      <c r="Y494" s="173"/>
      <c r="Z494" s="173"/>
      <c r="AA494" s="173"/>
      <c r="AB494" s="173"/>
      <c r="AC494" s="173"/>
      <c r="AD494" s="173"/>
      <c r="AE494" s="173"/>
      <c r="AF494" s="173"/>
      <c r="AG494" s="173"/>
      <c r="AH494" s="173"/>
      <c r="AI494" s="173"/>
      <c r="AJ494" s="173"/>
      <c r="AK494" s="173"/>
      <c r="AL494" s="173"/>
      <c r="AM494" s="173"/>
      <c r="AN494" s="173"/>
      <c r="AO494" s="173"/>
      <c r="AP494" s="173"/>
      <c r="AQ494" s="173"/>
      <c r="AR494" s="217"/>
      <c r="AS494" s="218"/>
    </row>
    <row r="495">
      <c r="A495" s="218"/>
      <c r="B495" s="173"/>
      <c r="C495" s="173"/>
      <c r="D495" s="173"/>
      <c r="E495" s="173"/>
      <c r="F495" s="173"/>
      <c r="G495" s="173"/>
      <c r="H495" s="173"/>
      <c r="I495" s="173"/>
      <c r="J495" s="173"/>
      <c r="K495" s="173"/>
      <c r="L495" s="173"/>
      <c r="M495" s="173"/>
      <c r="N495" s="173"/>
      <c r="O495" s="173"/>
      <c r="P495" s="173"/>
      <c r="Q495" s="173"/>
      <c r="R495" s="173"/>
      <c r="S495" s="173"/>
      <c r="T495" s="173"/>
      <c r="U495" s="173"/>
      <c r="V495" s="173"/>
      <c r="W495" s="173"/>
      <c r="X495" s="173"/>
      <c r="Y495" s="173"/>
      <c r="Z495" s="173"/>
      <c r="AA495" s="173"/>
      <c r="AB495" s="173"/>
      <c r="AC495" s="173"/>
      <c r="AD495" s="173"/>
      <c r="AE495" s="173"/>
      <c r="AF495" s="173"/>
      <c r="AG495" s="173"/>
      <c r="AH495" s="173"/>
      <c r="AI495" s="173"/>
      <c r="AJ495" s="173"/>
      <c r="AK495" s="173"/>
      <c r="AL495" s="173"/>
      <c r="AM495" s="173"/>
      <c r="AN495" s="173"/>
      <c r="AO495" s="173"/>
      <c r="AP495" s="173"/>
      <c r="AQ495" s="173"/>
      <c r="AR495" s="217"/>
      <c r="AS495" s="218"/>
    </row>
    <row r="496">
      <c r="A496" s="218"/>
      <c r="B496" s="173"/>
      <c r="C496" s="173"/>
      <c r="D496" s="173"/>
      <c r="E496" s="173"/>
      <c r="F496" s="173"/>
      <c r="G496" s="173"/>
      <c r="H496" s="173"/>
      <c r="I496" s="173"/>
      <c r="J496" s="173"/>
      <c r="K496" s="173"/>
      <c r="L496" s="173"/>
      <c r="M496" s="173"/>
      <c r="N496" s="173"/>
      <c r="O496" s="173"/>
      <c r="P496" s="173"/>
      <c r="Q496" s="173"/>
      <c r="R496" s="173"/>
      <c r="S496" s="173"/>
      <c r="T496" s="173"/>
      <c r="U496" s="173"/>
      <c r="V496" s="173"/>
      <c r="W496" s="173"/>
      <c r="X496" s="173"/>
      <c r="Y496" s="173"/>
      <c r="Z496" s="173"/>
      <c r="AA496" s="173"/>
      <c r="AB496" s="173"/>
      <c r="AC496" s="173"/>
      <c r="AD496" s="173"/>
      <c r="AE496" s="173"/>
      <c r="AF496" s="173"/>
      <c r="AG496" s="173"/>
      <c r="AH496" s="173"/>
      <c r="AI496" s="173"/>
      <c r="AJ496" s="173"/>
      <c r="AK496" s="173"/>
      <c r="AL496" s="173"/>
      <c r="AM496" s="173"/>
      <c r="AN496" s="173"/>
      <c r="AO496" s="173"/>
      <c r="AP496" s="173"/>
      <c r="AQ496" s="173"/>
      <c r="AR496" s="217"/>
      <c r="AS496" s="218"/>
    </row>
    <row r="497">
      <c r="A497" s="218"/>
      <c r="B497" s="173"/>
      <c r="C497" s="173"/>
      <c r="D497" s="173"/>
      <c r="E497" s="173"/>
      <c r="F497" s="173"/>
      <c r="G497" s="173"/>
      <c r="H497" s="173"/>
      <c r="I497" s="173"/>
      <c r="J497" s="173"/>
      <c r="K497" s="173"/>
      <c r="L497" s="173"/>
      <c r="M497" s="173"/>
      <c r="N497" s="173"/>
      <c r="O497" s="173"/>
      <c r="P497" s="173"/>
      <c r="Q497" s="173"/>
      <c r="R497" s="173"/>
      <c r="S497" s="173"/>
      <c r="T497" s="173"/>
      <c r="U497" s="173"/>
      <c r="V497" s="173"/>
      <c r="W497" s="173"/>
      <c r="X497" s="173"/>
      <c r="Y497" s="173"/>
      <c r="Z497" s="173"/>
      <c r="AA497" s="173"/>
      <c r="AB497" s="173"/>
      <c r="AC497" s="173"/>
      <c r="AD497" s="173"/>
      <c r="AE497" s="173"/>
      <c r="AF497" s="173"/>
      <c r="AG497" s="173"/>
      <c r="AH497" s="173"/>
      <c r="AI497" s="173"/>
      <c r="AJ497" s="173"/>
      <c r="AK497" s="173"/>
      <c r="AL497" s="173"/>
      <c r="AM497" s="173"/>
      <c r="AN497" s="173"/>
      <c r="AO497" s="173"/>
      <c r="AP497" s="173"/>
      <c r="AQ497" s="173"/>
      <c r="AR497" s="217"/>
      <c r="AS497" s="218"/>
    </row>
    <row r="498">
      <c r="A498" s="218"/>
      <c r="B498" s="173"/>
      <c r="C498" s="173"/>
      <c r="D498" s="173"/>
      <c r="E498" s="173"/>
      <c r="F498" s="173"/>
      <c r="G498" s="173"/>
      <c r="H498" s="173"/>
      <c r="I498" s="173"/>
      <c r="J498" s="173"/>
      <c r="K498" s="173"/>
      <c r="L498" s="173"/>
      <c r="M498" s="173"/>
      <c r="N498" s="173"/>
      <c r="O498" s="173"/>
      <c r="P498" s="173"/>
      <c r="Q498" s="173"/>
      <c r="R498" s="173"/>
      <c r="S498" s="173"/>
      <c r="T498" s="173"/>
      <c r="U498" s="173"/>
      <c r="V498" s="173"/>
      <c r="W498" s="173"/>
      <c r="X498" s="173"/>
      <c r="Y498" s="173"/>
      <c r="Z498" s="173"/>
      <c r="AA498" s="173"/>
      <c r="AB498" s="173"/>
      <c r="AC498" s="173"/>
      <c r="AD498" s="173"/>
      <c r="AE498" s="173"/>
      <c r="AF498" s="173"/>
      <c r="AG498" s="173"/>
      <c r="AH498" s="173"/>
      <c r="AI498" s="173"/>
      <c r="AJ498" s="173"/>
      <c r="AK498" s="173"/>
      <c r="AL498" s="173"/>
      <c r="AM498" s="173"/>
      <c r="AN498" s="173"/>
      <c r="AO498" s="173"/>
      <c r="AP498" s="173"/>
      <c r="AQ498" s="173"/>
      <c r="AR498" s="217"/>
      <c r="AS498" s="218"/>
    </row>
    <row r="499">
      <c r="A499" s="218"/>
      <c r="B499" s="173"/>
      <c r="C499" s="173"/>
      <c r="D499" s="173"/>
      <c r="E499" s="173"/>
      <c r="F499" s="173"/>
      <c r="G499" s="173"/>
      <c r="H499" s="173"/>
      <c r="I499" s="173"/>
      <c r="J499" s="173"/>
      <c r="K499" s="173"/>
      <c r="L499" s="173"/>
      <c r="M499" s="173"/>
      <c r="N499" s="173"/>
      <c r="O499" s="173"/>
      <c r="P499" s="173"/>
      <c r="Q499" s="173"/>
      <c r="R499" s="173"/>
      <c r="S499" s="173"/>
      <c r="T499" s="173"/>
      <c r="U499" s="173"/>
      <c r="V499" s="173"/>
      <c r="W499" s="173"/>
      <c r="X499" s="173"/>
      <c r="Y499" s="173"/>
      <c r="Z499" s="173"/>
      <c r="AA499" s="173"/>
      <c r="AB499" s="173"/>
      <c r="AC499" s="173"/>
      <c r="AD499" s="173"/>
      <c r="AE499" s="173"/>
      <c r="AF499" s="173"/>
      <c r="AG499" s="173"/>
      <c r="AH499" s="173"/>
      <c r="AI499" s="173"/>
      <c r="AJ499" s="173"/>
      <c r="AK499" s="173"/>
      <c r="AL499" s="173"/>
      <c r="AM499" s="173"/>
      <c r="AN499" s="173"/>
      <c r="AO499" s="173"/>
      <c r="AP499" s="173"/>
      <c r="AQ499" s="173"/>
      <c r="AR499" s="217"/>
      <c r="AS499" s="218"/>
    </row>
    <row r="500">
      <c r="A500" s="218"/>
      <c r="B500" s="173"/>
      <c r="C500" s="173"/>
      <c r="D500" s="173"/>
      <c r="E500" s="173"/>
      <c r="F500" s="173"/>
      <c r="G500" s="173"/>
      <c r="H500" s="173"/>
      <c r="I500" s="173"/>
      <c r="J500" s="173"/>
      <c r="K500" s="173"/>
      <c r="L500" s="173"/>
      <c r="M500" s="173"/>
      <c r="N500" s="173"/>
      <c r="O500" s="173"/>
      <c r="P500" s="173"/>
      <c r="Q500" s="173"/>
      <c r="R500" s="173"/>
      <c r="S500" s="173"/>
      <c r="T500" s="173"/>
      <c r="U500" s="173"/>
      <c r="V500" s="173"/>
      <c r="W500" s="173"/>
      <c r="X500" s="173"/>
      <c r="Y500" s="173"/>
      <c r="Z500" s="173"/>
      <c r="AA500" s="173"/>
      <c r="AB500" s="173"/>
      <c r="AC500" s="173"/>
      <c r="AD500" s="173"/>
      <c r="AE500" s="173"/>
      <c r="AF500" s="173"/>
      <c r="AG500" s="173"/>
      <c r="AH500" s="173"/>
      <c r="AI500" s="173"/>
      <c r="AJ500" s="173"/>
      <c r="AK500" s="173"/>
      <c r="AL500" s="173"/>
      <c r="AM500" s="173"/>
      <c r="AN500" s="173"/>
      <c r="AO500" s="173"/>
      <c r="AP500" s="173"/>
      <c r="AQ500" s="173"/>
      <c r="AR500" s="217"/>
      <c r="AS500" s="218"/>
    </row>
  </sheetData>
  <mergeCells count="455">
    <mergeCell ref="F10:F11"/>
    <mergeCell ref="H9:J9"/>
    <mergeCell ref="F20:F21"/>
    <mergeCell ref="G20:G21"/>
    <mergeCell ref="P3:Q3"/>
    <mergeCell ref="H2:L2"/>
    <mergeCell ref="N2:T2"/>
    <mergeCell ref="F13:F14"/>
    <mergeCell ref="H16:J16"/>
    <mergeCell ref="M20:X20"/>
    <mergeCell ref="M19:X19"/>
    <mergeCell ref="M21:X21"/>
    <mergeCell ref="M18:X18"/>
    <mergeCell ref="D13:D14"/>
    <mergeCell ref="D10:D11"/>
    <mergeCell ref="D6:D7"/>
    <mergeCell ref="F7:G7"/>
    <mergeCell ref="C6:C7"/>
    <mergeCell ref="I5:J7"/>
    <mergeCell ref="C8:J8"/>
    <mergeCell ref="E5:F5"/>
    <mergeCell ref="H19:J19"/>
    <mergeCell ref="H17:J18"/>
    <mergeCell ref="M14:X14"/>
    <mergeCell ref="M15:X15"/>
    <mergeCell ref="M16:X16"/>
    <mergeCell ref="G17:G18"/>
    <mergeCell ref="M17:X17"/>
    <mergeCell ref="E17:E18"/>
    <mergeCell ref="D17:D18"/>
    <mergeCell ref="F17:F18"/>
    <mergeCell ref="D20:D21"/>
    <mergeCell ref="L25:T25"/>
    <mergeCell ref="M24:X24"/>
    <mergeCell ref="H22:J22"/>
    <mergeCell ref="I30:K30"/>
    <mergeCell ref="I29:K29"/>
    <mergeCell ref="I31:K31"/>
    <mergeCell ref="I34:K34"/>
    <mergeCell ref="C36:G36"/>
    <mergeCell ref="C35:G35"/>
    <mergeCell ref="C34:G34"/>
    <mergeCell ref="I32:K32"/>
    <mergeCell ref="I33:K33"/>
    <mergeCell ref="J3:L3"/>
    <mergeCell ref="M4:S4"/>
    <mergeCell ref="T4:X4"/>
    <mergeCell ref="T3:X3"/>
    <mergeCell ref="D3:G4"/>
    <mergeCell ref="AQ2:AQ3"/>
    <mergeCell ref="AP2:AP3"/>
    <mergeCell ref="Z2:AC3"/>
    <mergeCell ref="AD2:AO2"/>
    <mergeCell ref="F2:G2"/>
    <mergeCell ref="D2:E2"/>
    <mergeCell ref="C3:C4"/>
    <mergeCell ref="M11:X11"/>
    <mergeCell ref="M10:X10"/>
    <mergeCell ref="M12:X12"/>
    <mergeCell ref="M6:X6"/>
    <mergeCell ref="M5:X5"/>
    <mergeCell ref="M13:X13"/>
    <mergeCell ref="M7:X7"/>
    <mergeCell ref="M8:X8"/>
    <mergeCell ref="M9:X9"/>
    <mergeCell ref="L31:O31"/>
    <mergeCell ref="L32:O32"/>
    <mergeCell ref="Q27:V27"/>
    <mergeCell ref="I27:O27"/>
    <mergeCell ref="I26:K26"/>
    <mergeCell ref="U26:V26"/>
    <mergeCell ref="O26:P26"/>
    <mergeCell ref="H20:J21"/>
    <mergeCell ref="Q31:V32"/>
    <mergeCell ref="L28:O28"/>
    <mergeCell ref="L30:O30"/>
    <mergeCell ref="L29:O29"/>
    <mergeCell ref="Q28:V30"/>
    <mergeCell ref="I28:K28"/>
    <mergeCell ref="H10:J11"/>
    <mergeCell ref="G10:G11"/>
    <mergeCell ref="E13:E14"/>
    <mergeCell ref="G13:G14"/>
    <mergeCell ref="E20:E21"/>
    <mergeCell ref="E10:E11"/>
    <mergeCell ref="C13:C14"/>
    <mergeCell ref="C17:C18"/>
    <mergeCell ref="C20:C21"/>
    <mergeCell ref="C23:G23"/>
    <mergeCell ref="C10:C11"/>
    <mergeCell ref="H12:J12"/>
    <mergeCell ref="H15:J15"/>
    <mergeCell ref="H13:J14"/>
    <mergeCell ref="J36:L36"/>
    <mergeCell ref="J35:N35"/>
    <mergeCell ref="L34:O34"/>
    <mergeCell ref="L33:O33"/>
    <mergeCell ref="O35:Q35"/>
    <mergeCell ref="J40:L40"/>
    <mergeCell ref="C37:G37"/>
    <mergeCell ref="C40:G40"/>
    <mergeCell ref="C39:G39"/>
    <mergeCell ref="C38:G38"/>
    <mergeCell ref="J38:L38"/>
    <mergeCell ref="J37:L37"/>
    <mergeCell ref="J39:L39"/>
    <mergeCell ref="P48:Q48"/>
    <mergeCell ref="R48:S48"/>
    <mergeCell ref="C56:G56"/>
    <mergeCell ref="R52:S52"/>
    <mergeCell ref="AE26:AH26"/>
    <mergeCell ref="X25:AC25"/>
    <mergeCell ref="M22:X22"/>
    <mergeCell ref="M23:X23"/>
    <mergeCell ref="AJ28:AM28"/>
    <mergeCell ref="AJ27:AM27"/>
    <mergeCell ref="AE27:AH27"/>
    <mergeCell ref="AJ26:AL26"/>
    <mergeCell ref="AE28:AH28"/>
    <mergeCell ref="AP28:AQ28"/>
    <mergeCell ref="AA57:AC58"/>
    <mergeCell ref="S56:U56"/>
    <mergeCell ref="U58:V58"/>
    <mergeCell ref="S58:T58"/>
    <mergeCell ref="U57:V57"/>
    <mergeCell ref="S57:T57"/>
    <mergeCell ref="U54:V54"/>
    <mergeCell ref="U50:V50"/>
    <mergeCell ref="U61:V61"/>
    <mergeCell ref="U62:V62"/>
    <mergeCell ref="S59:T59"/>
    <mergeCell ref="S62:T62"/>
    <mergeCell ref="S61:T61"/>
    <mergeCell ref="R49:S49"/>
    <mergeCell ref="AA63:AC63"/>
    <mergeCell ref="AA61:AC61"/>
    <mergeCell ref="AA53:AC54"/>
    <mergeCell ref="X59:AC59"/>
    <mergeCell ref="U63:V63"/>
    <mergeCell ref="U59:V59"/>
    <mergeCell ref="S63:T63"/>
    <mergeCell ref="X62:Z62"/>
    <mergeCell ref="AA62:AC62"/>
    <mergeCell ref="AA56:AC56"/>
    <mergeCell ref="W55:AD55"/>
    <mergeCell ref="X56:Z56"/>
    <mergeCell ref="P55:V55"/>
    <mergeCell ref="P56:R56"/>
    <mergeCell ref="X60:Z60"/>
    <mergeCell ref="AA60:AC60"/>
    <mergeCell ref="R39:V39"/>
    <mergeCell ref="R40:V40"/>
    <mergeCell ref="P53:Q53"/>
    <mergeCell ref="P54:Q54"/>
    <mergeCell ref="P63:Q63"/>
    <mergeCell ref="P62:Q62"/>
    <mergeCell ref="P61:Q61"/>
    <mergeCell ref="P60:Q60"/>
    <mergeCell ref="P58:Q58"/>
    <mergeCell ref="Q33:V34"/>
    <mergeCell ref="R35:U35"/>
    <mergeCell ref="R38:V38"/>
    <mergeCell ref="R36:V36"/>
    <mergeCell ref="R37:V37"/>
    <mergeCell ref="P49:Q49"/>
    <mergeCell ref="P47:Q47"/>
    <mergeCell ref="U48:V48"/>
    <mergeCell ref="U52:V52"/>
    <mergeCell ref="P93:S96"/>
    <mergeCell ref="P97:S99"/>
    <mergeCell ref="P90:S92"/>
    <mergeCell ref="T90:V92"/>
    <mergeCell ref="T93:V94"/>
    <mergeCell ref="U87:U88"/>
    <mergeCell ref="T87:T88"/>
    <mergeCell ref="V87:V88"/>
    <mergeCell ref="P81:S84"/>
    <mergeCell ref="T78:V78"/>
    <mergeCell ref="C85:D85"/>
    <mergeCell ref="C86:D86"/>
    <mergeCell ref="P71:Q71"/>
    <mergeCell ref="S71:T71"/>
    <mergeCell ref="U71:V71"/>
    <mergeCell ref="U72:V72"/>
    <mergeCell ref="U70:V70"/>
    <mergeCell ref="P73:V73"/>
    <mergeCell ref="P69:Q69"/>
    <mergeCell ref="S69:T69"/>
    <mergeCell ref="T98:V99"/>
    <mergeCell ref="T97:V97"/>
    <mergeCell ref="P70:Q70"/>
    <mergeCell ref="T95:V96"/>
    <mergeCell ref="S76:T76"/>
    <mergeCell ref="P74:Q74"/>
    <mergeCell ref="I301:L301"/>
    <mergeCell ref="I303:L303"/>
    <mergeCell ref="I302:L302"/>
    <mergeCell ref="I304:L304"/>
    <mergeCell ref="C289:D289"/>
    <mergeCell ref="C290:D290"/>
    <mergeCell ref="C287:D287"/>
    <mergeCell ref="C288:D288"/>
    <mergeCell ref="F287:G287"/>
    <mergeCell ref="C286:D286"/>
    <mergeCell ref="F293:G293"/>
    <mergeCell ref="F294:G294"/>
    <mergeCell ref="C296:D296"/>
    <mergeCell ref="F296:G296"/>
    <mergeCell ref="I295:L295"/>
    <mergeCell ref="C295:D295"/>
    <mergeCell ref="C293:D293"/>
    <mergeCell ref="C294:D294"/>
    <mergeCell ref="C291:D291"/>
    <mergeCell ref="C292:D292"/>
    <mergeCell ref="F292:G292"/>
    <mergeCell ref="F295:G295"/>
    <mergeCell ref="I299:L299"/>
    <mergeCell ref="I298:L298"/>
    <mergeCell ref="I296:L296"/>
    <mergeCell ref="I297:L297"/>
    <mergeCell ref="U296:V296"/>
    <mergeCell ref="U297:V297"/>
    <mergeCell ref="U299:V299"/>
    <mergeCell ref="U300:V300"/>
    <mergeCell ref="U298:V298"/>
    <mergeCell ref="I292:L292"/>
    <mergeCell ref="I300:L300"/>
    <mergeCell ref="P100:S101"/>
    <mergeCell ref="P102:S103"/>
    <mergeCell ref="P128:Q128"/>
    <mergeCell ref="P129:Q129"/>
    <mergeCell ref="P130:Q130"/>
    <mergeCell ref="P131:Q131"/>
    <mergeCell ref="P132:Q132"/>
    <mergeCell ref="P133:Q133"/>
    <mergeCell ref="P135:Q135"/>
    <mergeCell ref="P134:Q134"/>
    <mergeCell ref="S70:T70"/>
    <mergeCell ref="S74:T74"/>
    <mergeCell ref="U292:V292"/>
    <mergeCell ref="U294:V294"/>
    <mergeCell ref="U293:V293"/>
    <mergeCell ref="U295:V295"/>
    <mergeCell ref="U291:V291"/>
    <mergeCell ref="P78:S78"/>
    <mergeCell ref="P77:V77"/>
    <mergeCell ref="P122:Q122"/>
    <mergeCell ref="P123:Q123"/>
    <mergeCell ref="P88:S89"/>
    <mergeCell ref="P87:S87"/>
    <mergeCell ref="I293:L293"/>
    <mergeCell ref="I294:L294"/>
    <mergeCell ref="F289:G289"/>
    <mergeCell ref="F290:G290"/>
    <mergeCell ref="F288:G288"/>
    <mergeCell ref="I291:L291"/>
    <mergeCell ref="F291:G291"/>
    <mergeCell ref="F286:G286"/>
    <mergeCell ref="H104:I104"/>
    <mergeCell ref="J104:K104"/>
    <mergeCell ref="H107:I107"/>
    <mergeCell ref="H106:I106"/>
    <mergeCell ref="J107:K107"/>
    <mergeCell ref="J106:K106"/>
    <mergeCell ref="C99:D99"/>
    <mergeCell ref="C100:D100"/>
    <mergeCell ref="F98:G98"/>
    <mergeCell ref="F102:G102"/>
    <mergeCell ref="F101:G101"/>
    <mergeCell ref="F100:G100"/>
    <mergeCell ref="F99:G99"/>
    <mergeCell ref="C102:D102"/>
    <mergeCell ref="C101:D101"/>
    <mergeCell ref="F97:G97"/>
    <mergeCell ref="C98:D98"/>
    <mergeCell ref="H105:I105"/>
    <mergeCell ref="J105:K105"/>
    <mergeCell ref="C96:D96"/>
    <mergeCell ref="F96:G96"/>
    <mergeCell ref="C97:D97"/>
    <mergeCell ref="C103:G103"/>
    <mergeCell ref="M97:N97"/>
    <mergeCell ref="M96:N96"/>
    <mergeCell ref="J100:L100"/>
    <mergeCell ref="J97:L97"/>
    <mergeCell ref="J99:L99"/>
    <mergeCell ref="M95:N95"/>
    <mergeCell ref="J96:L96"/>
    <mergeCell ref="J95:L95"/>
    <mergeCell ref="M94:N94"/>
    <mergeCell ref="J94:L94"/>
    <mergeCell ref="J93:N93"/>
    <mergeCell ref="M102:N102"/>
    <mergeCell ref="J102:L102"/>
    <mergeCell ref="M100:N100"/>
    <mergeCell ref="M101:N101"/>
    <mergeCell ref="J101:L101"/>
    <mergeCell ref="J98:N98"/>
    <mergeCell ref="M99:N99"/>
    <mergeCell ref="C95:D95"/>
    <mergeCell ref="C94:D94"/>
    <mergeCell ref="C93:D93"/>
    <mergeCell ref="C88:D89"/>
    <mergeCell ref="C83:D83"/>
    <mergeCell ref="C84:D84"/>
    <mergeCell ref="U45:V45"/>
    <mergeCell ref="U46:V46"/>
    <mergeCell ref="I47:N47"/>
    <mergeCell ref="I49:N49"/>
    <mergeCell ref="I48:N48"/>
    <mergeCell ref="R47:S47"/>
    <mergeCell ref="R46:S46"/>
    <mergeCell ref="P46:Q46"/>
    <mergeCell ref="P44:V44"/>
    <mergeCell ref="I50:N50"/>
    <mergeCell ref="I51:N51"/>
    <mergeCell ref="P51:Q51"/>
    <mergeCell ref="P52:Q52"/>
    <mergeCell ref="R51:S51"/>
    <mergeCell ref="J41:L41"/>
    <mergeCell ref="I46:N46"/>
    <mergeCell ref="J43:L43"/>
    <mergeCell ref="J42:L42"/>
    <mergeCell ref="I44:N44"/>
    <mergeCell ref="I45:N45"/>
    <mergeCell ref="I52:N52"/>
    <mergeCell ref="R42:V42"/>
    <mergeCell ref="R41:V41"/>
    <mergeCell ref="P45:Q45"/>
    <mergeCell ref="R45:S45"/>
    <mergeCell ref="C43:G43"/>
    <mergeCell ref="C44:G44"/>
    <mergeCell ref="C45:G45"/>
    <mergeCell ref="C42:G42"/>
    <mergeCell ref="R43:V43"/>
    <mergeCell ref="C41:G41"/>
    <mergeCell ref="I57:N57"/>
    <mergeCell ref="P57:Q57"/>
    <mergeCell ref="X53:Z54"/>
    <mergeCell ref="X52:Z52"/>
    <mergeCell ref="X51:AC51"/>
    <mergeCell ref="R50:S50"/>
    <mergeCell ref="P50:Q50"/>
    <mergeCell ref="R54:S54"/>
    <mergeCell ref="R53:S53"/>
    <mergeCell ref="I58:N58"/>
    <mergeCell ref="I53:N53"/>
    <mergeCell ref="I55:N55"/>
    <mergeCell ref="I54:N54"/>
    <mergeCell ref="I56:N56"/>
    <mergeCell ref="X57:Z58"/>
    <mergeCell ref="AA52:AC52"/>
    <mergeCell ref="I66:L66"/>
    <mergeCell ref="S66:T66"/>
    <mergeCell ref="P66:Q66"/>
    <mergeCell ref="X65:AC65"/>
    <mergeCell ref="P65:Q65"/>
    <mergeCell ref="S65:T65"/>
    <mergeCell ref="U65:V65"/>
    <mergeCell ref="P68:Q68"/>
    <mergeCell ref="P67:Q67"/>
    <mergeCell ref="S67:T67"/>
    <mergeCell ref="S68:T68"/>
    <mergeCell ref="X64:Z64"/>
    <mergeCell ref="U64:V64"/>
    <mergeCell ref="P64:Q64"/>
    <mergeCell ref="S64:T64"/>
    <mergeCell ref="I67:L67"/>
    <mergeCell ref="X66:AC67"/>
    <mergeCell ref="AA64:AC64"/>
    <mergeCell ref="X63:Z63"/>
    <mergeCell ref="U68:V68"/>
    <mergeCell ref="U66:V66"/>
    <mergeCell ref="U67:V67"/>
    <mergeCell ref="I59:N59"/>
    <mergeCell ref="I68:L68"/>
    <mergeCell ref="I65:L65"/>
    <mergeCell ref="I64:L64"/>
    <mergeCell ref="I63:L63"/>
    <mergeCell ref="I61:L62"/>
    <mergeCell ref="I60:L60"/>
    <mergeCell ref="I88:L88"/>
    <mergeCell ref="I87:L87"/>
    <mergeCell ref="I89:L89"/>
    <mergeCell ref="I90:L90"/>
    <mergeCell ref="I91:L91"/>
    <mergeCell ref="J92:N92"/>
    <mergeCell ref="I69:L69"/>
    <mergeCell ref="I70:L70"/>
    <mergeCell ref="I74:L74"/>
    <mergeCell ref="I75:L75"/>
    <mergeCell ref="I82:L82"/>
    <mergeCell ref="I71:L71"/>
    <mergeCell ref="I78:L78"/>
    <mergeCell ref="I79:L79"/>
    <mergeCell ref="I81:L81"/>
    <mergeCell ref="I80:L80"/>
    <mergeCell ref="X80:AC81"/>
    <mergeCell ref="X82:AC83"/>
    <mergeCell ref="P79:S80"/>
    <mergeCell ref="X61:Z61"/>
    <mergeCell ref="S60:T60"/>
    <mergeCell ref="U60:V60"/>
    <mergeCell ref="P59:Q59"/>
    <mergeCell ref="N61:N62"/>
    <mergeCell ref="M61:M62"/>
    <mergeCell ref="I72:L72"/>
    <mergeCell ref="I73:L73"/>
    <mergeCell ref="X70:AC71"/>
    <mergeCell ref="X68:AC69"/>
    <mergeCell ref="X72:AC73"/>
    <mergeCell ref="S72:T72"/>
    <mergeCell ref="P72:Q72"/>
    <mergeCell ref="U69:V69"/>
    <mergeCell ref="I83:L83"/>
    <mergeCell ref="I85:L85"/>
    <mergeCell ref="I84:L84"/>
    <mergeCell ref="I86:L86"/>
    <mergeCell ref="P85:S86"/>
    <mergeCell ref="U76:V76"/>
    <mergeCell ref="U74:V74"/>
    <mergeCell ref="I76:L76"/>
    <mergeCell ref="I77:L77"/>
    <mergeCell ref="P76:Q76"/>
    <mergeCell ref="X76:AC77"/>
    <mergeCell ref="X74:AC75"/>
    <mergeCell ref="P75:V75"/>
    <mergeCell ref="X78:AC79"/>
    <mergeCell ref="P126:Q126"/>
    <mergeCell ref="P124:Q124"/>
    <mergeCell ref="P119:Q119"/>
    <mergeCell ref="P118:Q118"/>
    <mergeCell ref="P116:Q116"/>
    <mergeCell ref="P117:Q117"/>
    <mergeCell ref="P127:Q127"/>
    <mergeCell ref="P121:Q121"/>
    <mergeCell ref="P120:Q120"/>
    <mergeCell ref="F91:G91"/>
    <mergeCell ref="F92:G92"/>
    <mergeCell ref="F93:G93"/>
    <mergeCell ref="F95:G95"/>
    <mergeCell ref="F94:G94"/>
    <mergeCell ref="C82:D82"/>
    <mergeCell ref="C78:G78"/>
    <mergeCell ref="C79:D79"/>
    <mergeCell ref="C80:D80"/>
    <mergeCell ref="C77:D77"/>
    <mergeCell ref="C81:D81"/>
    <mergeCell ref="C91:D91"/>
    <mergeCell ref="F88:G88"/>
    <mergeCell ref="C90:G90"/>
    <mergeCell ref="E88:E89"/>
    <mergeCell ref="F89:G89"/>
    <mergeCell ref="C92:D92"/>
    <mergeCell ref="C87:G87"/>
  </mergeCells>
  <conditionalFormatting sqref="AD3:AO3">
    <cfRule type="cellIs" dxfId="0" priority="1" operator="greaterThan">
      <formula>0</formula>
    </cfRule>
  </conditionalFormatting>
  <conditionalFormatting sqref="AB28">
    <cfRule type="containsText" dxfId="1" priority="2" operator="containsText" text="#N/A">
      <formula>NOT(ISERROR(SEARCH(("#N/A"),(AB28))))</formula>
    </cfRule>
  </conditionalFormatting>
  <conditionalFormatting sqref="AD5:AO24">
    <cfRule type="notContainsBlanks" dxfId="1" priority="3">
      <formula>LEN(TRIM(AD5))&gt;0</formula>
    </cfRule>
  </conditionalFormatting>
  <conditionalFormatting sqref="V79">
    <cfRule type="containsText" dxfId="1" priority="4" operator="containsText" text="5">
      <formula>NOT(ISERROR(SEARCH(("5"),(V79))))</formula>
    </cfRule>
  </conditionalFormatting>
  <conditionalFormatting sqref="V80">
    <cfRule type="containsText" dxfId="1" priority="5" operator="containsText" text="10">
      <formula>NOT(ISERROR(SEARCH(("10"),(V80))))</formula>
    </cfRule>
  </conditionalFormatting>
  <conditionalFormatting sqref="V81">
    <cfRule type="cellIs" dxfId="1" priority="6" operator="greaterThanOrEqual">
      <formula>3</formula>
    </cfRule>
  </conditionalFormatting>
  <conditionalFormatting sqref="V84">
    <cfRule type="containsText" dxfId="1" priority="7" operator="containsText" text="2">
      <formula>NOT(ISERROR(SEARCH(("2"),(V84))))</formula>
    </cfRule>
  </conditionalFormatting>
  <conditionalFormatting sqref="V83">
    <cfRule type="containsText" dxfId="1" priority="8" operator="containsText" text="20">
      <formula>NOT(ISERROR(SEARCH(("20"),(V83))))</formula>
    </cfRule>
  </conditionalFormatting>
  <conditionalFormatting sqref="V87">
    <cfRule type="containsText" dxfId="1" priority="9" operator="containsText" text="1">
      <formula>NOT(ISERROR(SEARCH(("1"),(V87))))</formula>
    </cfRule>
  </conditionalFormatting>
  <conditionalFormatting sqref="D58:G76">
    <cfRule type="cellIs" dxfId="0" priority="10" operator="equal">
      <formula>"-"</formula>
    </cfRule>
  </conditionalFormatting>
  <conditionalFormatting sqref="M94:N97">
    <cfRule type="cellIs" dxfId="2" priority="11" operator="equal">
      <formula>"-"</formula>
    </cfRule>
  </conditionalFormatting>
  <conditionalFormatting sqref="M99:N102">
    <cfRule type="cellIs" dxfId="2" priority="12" operator="equal">
      <formula>"-"</formula>
    </cfRule>
  </conditionalFormatting>
  <conditionalFormatting sqref="C90:G90">
    <cfRule type="beginsWith" dxfId="3" priority="13" operator="beginsWith" text="Too">
      <formula>LEFT((C90),LEN("Too"))=("Too")</formula>
    </cfRule>
  </conditionalFormatting>
  <conditionalFormatting sqref="V82">
    <cfRule type="notContainsText" dxfId="1" priority="14" operator="notContains" text="0">
      <formula>ISERROR(SEARCH(("0"),(V82)))</formula>
    </cfRule>
  </conditionalFormatting>
  <conditionalFormatting sqref="P36">
    <cfRule type="expression" dxfId="4" priority="15">
      <formula>AB110&gt;=AI97</formula>
    </cfRule>
  </conditionalFormatting>
  <conditionalFormatting sqref="P36">
    <cfRule type="expression" dxfId="5" priority="16">
      <formula>AB110&gt;=AI96</formula>
    </cfRule>
  </conditionalFormatting>
  <dataValidations>
    <dataValidation type="list" allowBlank="1" sqref="D58">
      <formula1>"Dazed,-"</formula1>
    </dataValidation>
    <dataValidation type="list" allowBlank="1" sqref="F65">
      <formula1>"Valiant,-"</formula1>
    </dataValidation>
    <dataValidation type="list" allowBlank="1" sqref="L33">
      <formula1>'Character Sheet'!$C$157:$C$176</formula1>
    </dataValidation>
    <dataValidation type="list" allowBlank="1" sqref="R3">
      <formula1>'Character Sheet'!$X$4:$Z$15</formula1>
    </dataValidation>
    <dataValidation type="list" allowBlank="1" sqref="E64">
      <formula1>"Bewildered,-"</formula1>
    </dataValidation>
    <dataValidation type="list" allowBlank="1" sqref="D105 D107">
      <formula1>"Improvised,Standard,High,Exceptional,Mastercraft,Artisanal,Legendary"</formula1>
    </dataValidation>
    <dataValidation type="list" allowBlank="1" sqref="E61">
      <formula1>"Wounded,-"</formula1>
    </dataValidation>
    <dataValidation type="list" allowBlank="1" sqref="G75">
      <formula1>"Debilitated*,-"</formula1>
    </dataValidation>
    <dataValidation type="list" allowBlank="1" sqref="E75">
      <formula1>"Sick,-"</formula1>
    </dataValidation>
    <dataValidation type="list" allowBlank="1" sqref="G72">
      <formula1>"Paralyzed*,-"</formula1>
    </dataValidation>
    <dataValidation type="list" allowBlank="1" sqref="G68">
      <formula1>"Burning,-"</formula1>
    </dataValidation>
    <dataValidation type="list" allowBlank="1" sqref="F68">
      <formula1>"Smoldering,-"</formula1>
    </dataValidation>
    <dataValidation type="list" allowBlank="1" sqref="F71">
      <formula1>"Forgetful,-"</formula1>
    </dataValidation>
    <dataValidation type="list" allowBlank="1" sqref="D61">
      <formula1>"Bloodied,-"</formula1>
    </dataValidation>
    <dataValidation type="list" allowBlank="1" sqref="M94:M97 M99:M102">
      <formula1>"Installed,-"</formula1>
    </dataValidation>
    <dataValidation type="list" allowBlank="1" sqref="F58">
      <formula1>"Addled,-"</formula1>
    </dataValidation>
    <dataValidation type="list" allowBlank="1" sqref="D76">
      <formula1>"Weary,-"</formula1>
    </dataValidation>
    <dataValidation type="list" allowBlank="1" sqref="C80 C84">
      <formula1>'Stat Modification'!$D$3:$D$100</formula1>
    </dataValidation>
    <dataValidation type="list" allowBlank="1" sqref="T4">
      <formula1>"Strength,Agility,Endurance,Willpower,Intuition,Logic,Charisma,Luck,Reputation,Psionics,Magic,Chi,Hook Attribute"</formula1>
    </dataValidation>
    <dataValidation type="list" allowBlank="1" sqref="P3">
      <formula1>'Race Modification'!$C$2:$C$55</formula1>
    </dataValidation>
    <dataValidation type="list" allowBlank="1" sqref="F69">
      <formula1>"Half-deaf,-"</formula1>
    </dataValidation>
    <dataValidation type="list" allowBlank="1" sqref="E74">
      <formula1>"Soreness,-"</formula1>
    </dataValidation>
    <dataValidation type="list" allowBlank="1" sqref="G64">
      <formula1>"Insane,-"</formula1>
    </dataValidation>
    <dataValidation type="list" allowBlank="1" sqref="R45 R47 R49 R51 R53">
      <formula1>"Select Severity,Normal,Extreme"</formula1>
    </dataValidation>
    <dataValidation type="list" allowBlank="1" sqref="F62">
      <formula1>"Enchanted,-"</formula1>
    </dataValidation>
    <dataValidation type="list" allowBlank="1" sqref="D65">
      <formula1>"Confident,-"</formula1>
    </dataValidation>
    <dataValidation type="list" allowBlank="1" sqref="F66">
      <formula1>"Sleeping*,-"</formula1>
    </dataValidation>
    <dataValidation type="list" allowBlank="1" sqref="F70">
      <formula1>"Drunk,-"</formula1>
    </dataValidation>
    <dataValidation type="list" allowBlank="1" sqref="G70">
      <formula1>"Inebriated,-"</formula1>
    </dataValidation>
    <dataValidation type="list" allowBlank="1" sqref="G76">
      <formula1>"Exhausted,-"</formula1>
    </dataValidation>
    <dataValidation type="list" allowBlank="1" sqref="G71">
      <formula1>"Amnesic,-"</formula1>
    </dataValidation>
    <dataValidation type="list" allowBlank="1" sqref="G67">
      <formula1>"Terrified*,-"</formula1>
    </dataValidation>
    <dataValidation type="list" allowBlank="1" sqref="D73">
      <formula1>"Fuzzy,-"</formula1>
    </dataValidation>
    <dataValidation type="list" allowBlank="1" sqref="G58">
      <formula1>"Stunned*,-"</formula1>
    </dataValidation>
    <dataValidation type="list" allowBlank="1" sqref="E70">
      <formula1>"Lubricated,-"</formula1>
    </dataValidation>
    <dataValidation type="list" allowBlank="1" sqref="E62">
      <formula1>"Charmed,-"</formula1>
    </dataValidation>
    <dataValidation type="list" allowBlank="1" sqref="F63">
      <formula1>"Merry,-"</formula1>
    </dataValidation>
    <dataValidation type="list" allowBlank="1" sqref="P32">
      <formula1>"Open,Close,-"</formula1>
    </dataValidation>
    <dataValidation type="list" allowBlank="1" sqref="F67">
      <formula1>"Afraid,-"</formula1>
    </dataValidation>
    <dataValidation type="list" allowBlank="1" sqref="E60">
      <formula1>"Suggestible,-"</formula1>
    </dataValidation>
    <dataValidation type="list" allowBlank="1" sqref="E58">
      <formula1>"Disoriented,-"</formula1>
    </dataValidation>
    <dataValidation type="list" allowBlank="1" sqref="E65">
      <formula1>"Brave,-"</formula1>
    </dataValidation>
    <dataValidation type="list" allowBlank="1" sqref="G63">
      <formula1>"Joyous,-"</formula1>
    </dataValidation>
    <dataValidation type="list" allowBlank="1" sqref="F73">
      <formula1>"Half blind,-"</formula1>
    </dataValidation>
    <dataValidation type="list" allowBlank="1" sqref="G60">
      <formula1>"Controlled,-"</formula1>
    </dataValidation>
    <dataValidation type="list" allowBlank="1" sqref="M37:M43">
      <formula1>'Stat Modification'!$Y$3:$Y$100</formula1>
    </dataValidation>
    <dataValidation type="list" allowBlank="1" sqref="L32">
      <formula1>'Character Sheet'!$C$215:$C$229</formula1>
    </dataValidation>
    <dataValidation type="list" allowBlank="1" sqref="E73">
      <formula1>"Bleary,-"</formula1>
    </dataValidation>
    <dataValidation type="list" allowBlank="1" sqref="J3">
      <formula1>'Race Modification'!$P$1:$S$1</formula1>
    </dataValidation>
    <dataValidation type="list" allowBlank="1" sqref="E67">
      <formula1>"Nervous,-"</formula1>
    </dataValidation>
    <dataValidation type="list" allowBlank="1" sqref="F72">
      <formula1>"Immobilized,-"</formula1>
    </dataValidation>
    <dataValidation type="list" allowBlank="1" sqref="D69">
      <formula1>"Dulled,-"</formula1>
    </dataValidation>
    <dataValidation type="list" allowBlank="1" sqref="D74">
      <formula1>"Discomfort,-"</formula1>
    </dataValidation>
    <dataValidation type="list" allowBlank="1" sqref="E105 E107">
      <formula1>'Character Sheet'!$X$27:$X$50</formula1>
    </dataValidation>
    <dataValidation type="list" allowBlank="1" sqref="E71">
      <formula1>"Absent minded,-"</formula1>
    </dataValidation>
    <dataValidation type="list" allowBlank="1" sqref="G6">
      <formula1>'Stat Modification'!$AT$2:$AW$2</formula1>
    </dataValidation>
    <dataValidation type="list" allowBlank="1" sqref="P37">
      <formula1>"Active,-"</formula1>
    </dataValidation>
    <dataValidation type="list" allowBlank="1" sqref="D68">
      <formula1>"Singed,-"</formula1>
    </dataValidation>
    <dataValidation type="list" allowBlank="1" sqref="G59">
      <formula1>"Enraged,-"</formula1>
    </dataValidation>
    <dataValidation type="list" allowBlank="1" sqref="F61">
      <formula1>"Bleeding,-"</formula1>
    </dataValidation>
    <dataValidation type="list" allowBlank="1" sqref="E72">
      <formula1>"Slowed,-"</formula1>
    </dataValidation>
    <dataValidation type="list" allowBlank="1" sqref="D59">
      <formula1>"Vexed,-"</formula1>
    </dataValidation>
    <dataValidation type="list" allowBlank="1" sqref="D67">
      <formula1>"Apprehensive,-"</formula1>
    </dataValidation>
    <dataValidation type="list" allowBlank="1" sqref="F75">
      <formula1>"Nauseated,-"</formula1>
    </dataValidation>
    <dataValidation type="list" allowBlank="1" sqref="D63">
      <formula1>"Cheerful,-"</formula1>
    </dataValidation>
    <dataValidation type="list" allowBlank="1" sqref="G65">
      <formula1>"Heroic,-"</formula1>
    </dataValidation>
    <dataValidation type="list" allowBlank="1" sqref="D72">
      <formula1>"Hindered,-"</formula1>
    </dataValidation>
    <dataValidation type="list" allowBlank="1" sqref="E63">
      <formula1>"Jolly,-"</formula1>
    </dataValidation>
    <dataValidation type="list" allowBlank="1" sqref="G74">
      <formula1>"Agony*,-"</formula1>
    </dataValidation>
    <dataValidation type="list" allowBlank="1" sqref="P46 P48 P50 P52 P54">
      <formula1>'Stat Modification'!$L$3:$M$100</formula1>
    </dataValidation>
    <dataValidation type="list" allowBlank="1" sqref="F74">
      <formula1>"Painful,-"</formula1>
    </dataValidation>
    <dataValidation type="list" allowBlank="1" sqref="E68">
      <formula1>"Charred,-"</formula1>
    </dataValidation>
    <dataValidation type="list" allowBlank="1" sqref="F60">
      <formula1>"Dominated,-"</formula1>
    </dataValidation>
    <dataValidation type="list" allowBlank="1" sqref="F76">
      <formula1>"Fatigued,-"</formula1>
    </dataValidation>
    <dataValidation type="list" allowBlank="1" sqref="F64">
      <formula1>"Confused,-"</formula1>
    </dataValidation>
    <dataValidation type="list" allowBlank="1" sqref="G66">
      <formula1>"Comatose*,-"</formula1>
    </dataValidation>
    <dataValidation type="list" allowBlank="1" sqref="C92 C94 C96 C98 C100 C102">
      <formula1>'Stat Modification'!$AB$3:$AB$100</formula1>
    </dataValidation>
    <dataValidation type="list" allowBlank="1" sqref="E66">
      <formula1>"Snoozing*,-"</formula1>
    </dataValidation>
    <dataValidation type="list" allowBlank="1" sqref="F7">
      <formula1>'Stat Modification'!$AG$3:$AG$100</formula1>
    </dataValidation>
    <dataValidation type="list" allowBlank="1" sqref="E69">
      <formula1>"Hard of Hearing,-"</formula1>
    </dataValidation>
    <dataValidation type="list" allowBlank="1" sqref="F59">
      <formula1>"Angry,-"</formula1>
    </dataValidation>
    <dataValidation type="list" allowBlank="1" sqref="D64">
      <formula1>"Muddled,-"</formula1>
    </dataValidation>
    <dataValidation type="list" allowBlank="1" sqref="G69">
      <formula1>"Deafened,-"</formula1>
    </dataValidation>
    <dataValidation type="list" allowBlank="1" sqref="L31">
      <formula1>'Character Sheet'!$C$185:$C$199</formula1>
    </dataValidation>
    <dataValidation type="list" allowBlank="1" sqref="L28:L30">
      <formula1>'Character Sheet'!$C$230:$C$268</formula1>
    </dataValidation>
    <dataValidation type="list" allowBlank="1" sqref="D75">
      <formula1>"Queasy,-"</formula1>
    </dataValidation>
    <dataValidation type="list" allowBlank="1" sqref="E76">
      <formula1>"Flagging,-"</formula1>
    </dataValidation>
    <dataValidation type="list" allowBlank="1" sqref="D70">
      <formula1>"Tipsy,-"</formula1>
    </dataValidation>
    <dataValidation type="list" allowBlank="1" sqref="L34">
      <formula1>'Character Sheet'!$C$200:$C$214</formula1>
    </dataValidation>
    <dataValidation type="list" allowBlank="1" sqref="D71">
      <formula1>"Distracted,-"</formula1>
    </dataValidation>
    <dataValidation type="list" allowBlank="1" sqref="D62">
      <formula1>"Beguiled,-"</formula1>
    </dataValidation>
    <dataValidation type="list" allowBlank="1" sqref="G61">
      <formula1>"Hemorrhage,-"</formula1>
    </dataValidation>
    <dataValidation type="list" allowBlank="1" sqref="D66">
      <formula1>"Drowsy,-"</formula1>
    </dataValidation>
    <dataValidation type="list" allowBlank="1" sqref="L105 L107">
      <formula1>"Ranged,Melee,-"</formula1>
    </dataValidation>
    <dataValidation type="list" allowBlank="1" sqref="E59">
      <formula1>"Irate,-"</formula1>
    </dataValidation>
    <dataValidation type="list" allowBlank="1" sqref="D60">
      <formula1>"Agreeable,-"</formula1>
    </dataValidation>
    <dataValidation type="list" allowBlank="1" sqref="B23">
      <formula1>"N,C"</formula1>
    </dataValidation>
    <dataValidation type="list" allowBlank="1" sqref="G62">
      <formula1>"Besotted,-"</formula1>
    </dataValidation>
    <dataValidation type="list" allowBlank="1" sqref="G73">
      <formula1>"Blind,-"</formula1>
    </dataValidation>
  </dataValidations>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3.14"/>
    <col customWidth="1" min="2" max="2" width="4.43"/>
    <col customWidth="1" min="3" max="3" width="28.71"/>
    <col customWidth="1" min="6" max="6" width="8.0"/>
    <col customWidth="1" min="8" max="11" width="7.29"/>
    <col customWidth="1" min="14" max="14" width="3.71"/>
    <col customWidth="1" min="15" max="15" width="4.43"/>
    <col customWidth="1" min="16" max="16" width="21.57"/>
    <col customWidth="1" min="19" max="20" width="7.29"/>
    <col customWidth="1" min="27" max="27" width="3.14"/>
  </cols>
  <sheetData>
    <row r="1">
      <c r="A1" s="1"/>
      <c r="B1" s="2" t="s">
        <v>0</v>
      </c>
      <c r="N1" s="1"/>
      <c r="O1" s="2" t="s">
        <v>1</v>
      </c>
      <c r="AA1" s="1"/>
    </row>
    <row r="2">
      <c r="B2" s="3" t="s">
        <v>2</v>
      </c>
      <c r="C2" s="3" t="s">
        <v>3</v>
      </c>
      <c r="D2" s="3" t="s">
        <v>4</v>
      </c>
      <c r="E2" s="3" t="s">
        <v>6</v>
      </c>
      <c r="F2" s="3" t="s">
        <v>7</v>
      </c>
      <c r="G2" s="4" t="s">
        <v>8</v>
      </c>
      <c r="H2" s="3" t="s">
        <v>10</v>
      </c>
      <c r="I2" s="3" t="s">
        <v>12</v>
      </c>
      <c r="J2" s="3" t="s">
        <v>14</v>
      </c>
      <c r="K2" s="4" t="s">
        <v>9</v>
      </c>
      <c r="L2" s="3" t="s">
        <v>16</v>
      </c>
      <c r="M2" s="3" t="s">
        <v>17</v>
      </c>
      <c r="O2" s="3" t="s">
        <v>2</v>
      </c>
      <c r="P2" s="3" t="s">
        <v>3</v>
      </c>
      <c r="Q2" s="3" t="s">
        <v>4</v>
      </c>
      <c r="R2" s="4" t="s">
        <v>6</v>
      </c>
      <c r="S2" s="3" t="s">
        <v>9</v>
      </c>
      <c r="T2" s="4" t="s">
        <v>14</v>
      </c>
      <c r="U2" s="4" t="s">
        <v>20</v>
      </c>
    </row>
    <row r="3">
      <c r="B3" s="5">
        <v>0.0</v>
      </c>
      <c r="C3" s="5"/>
      <c r="D3" s="5" t="s">
        <v>24</v>
      </c>
      <c r="E3" s="5" t="s">
        <v>25</v>
      </c>
      <c r="F3" s="5"/>
      <c r="G3" s="7" t="s">
        <v>26</v>
      </c>
      <c r="H3" s="5"/>
      <c r="I3" s="5"/>
      <c r="J3" s="5"/>
      <c r="K3" s="5"/>
      <c r="L3" s="8"/>
      <c r="M3" s="5" t="s">
        <v>26</v>
      </c>
      <c r="O3" s="5">
        <v>0.0</v>
      </c>
      <c r="P3" s="8"/>
      <c r="Q3" s="5" t="s">
        <v>24</v>
      </c>
      <c r="R3" s="5" t="s">
        <v>25</v>
      </c>
      <c r="S3" s="8"/>
      <c r="T3" s="8"/>
      <c r="U3" s="8"/>
    </row>
    <row r="4">
      <c r="B4" s="9">
        <v>0.0</v>
      </c>
      <c r="C4" s="10"/>
      <c r="D4" s="9" t="s">
        <v>24</v>
      </c>
      <c r="E4" s="9" t="s">
        <v>25</v>
      </c>
      <c r="F4" s="10"/>
      <c r="G4" s="12" t="s">
        <v>26</v>
      </c>
      <c r="H4" s="10"/>
      <c r="I4" s="9"/>
      <c r="J4" s="10"/>
      <c r="K4" s="10"/>
      <c r="L4" s="10"/>
      <c r="M4" s="9" t="s">
        <v>26</v>
      </c>
      <c r="O4" s="9">
        <v>0.0</v>
      </c>
      <c r="P4" s="10"/>
      <c r="Q4" s="9" t="s">
        <v>24</v>
      </c>
      <c r="R4" s="9" t="s">
        <v>25</v>
      </c>
      <c r="S4" s="10"/>
      <c r="T4" s="10"/>
      <c r="U4" s="10"/>
    </row>
    <row r="5">
      <c r="B5" s="5">
        <v>0.0</v>
      </c>
      <c r="C5" s="8"/>
      <c r="D5" s="5" t="s">
        <v>24</v>
      </c>
      <c r="E5" s="5" t="s">
        <v>25</v>
      </c>
      <c r="F5" s="8"/>
      <c r="G5" s="7" t="s">
        <v>26</v>
      </c>
      <c r="H5" s="8"/>
      <c r="I5" s="8"/>
      <c r="J5" s="8"/>
      <c r="K5" s="8"/>
      <c r="L5" s="8"/>
      <c r="M5" s="5" t="s">
        <v>26</v>
      </c>
      <c r="O5" s="5">
        <v>0.0</v>
      </c>
      <c r="P5" s="8"/>
      <c r="Q5" s="5" t="s">
        <v>24</v>
      </c>
      <c r="R5" s="5" t="s">
        <v>25</v>
      </c>
      <c r="S5" s="8"/>
      <c r="T5" s="8"/>
      <c r="U5" s="8"/>
    </row>
    <row r="6">
      <c r="B6" s="9">
        <v>0.0</v>
      </c>
      <c r="C6" s="10"/>
      <c r="D6" s="9" t="s">
        <v>24</v>
      </c>
      <c r="E6" s="9" t="s">
        <v>25</v>
      </c>
      <c r="F6" s="10"/>
      <c r="G6" s="12" t="s">
        <v>26</v>
      </c>
      <c r="H6" s="10"/>
      <c r="I6" s="10"/>
      <c r="J6" s="10"/>
      <c r="K6" s="10"/>
      <c r="L6" s="10"/>
      <c r="M6" s="9" t="s">
        <v>26</v>
      </c>
      <c r="O6" s="9">
        <v>0.0</v>
      </c>
      <c r="P6" s="10"/>
      <c r="Q6" s="9" t="s">
        <v>24</v>
      </c>
      <c r="R6" s="9" t="s">
        <v>25</v>
      </c>
      <c r="S6" s="10"/>
      <c r="T6" s="10"/>
      <c r="U6" s="10"/>
    </row>
    <row r="7">
      <c r="B7" s="5">
        <v>0.0</v>
      </c>
      <c r="C7" s="8"/>
      <c r="D7" s="5" t="s">
        <v>24</v>
      </c>
      <c r="E7" s="5" t="s">
        <v>25</v>
      </c>
      <c r="F7" s="8"/>
      <c r="G7" s="7" t="s">
        <v>26</v>
      </c>
      <c r="H7" s="8"/>
      <c r="I7" s="8"/>
      <c r="J7" s="8"/>
      <c r="K7" s="8"/>
      <c r="L7" s="8"/>
      <c r="M7" s="5" t="s">
        <v>26</v>
      </c>
      <c r="O7" s="5">
        <v>0.0</v>
      </c>
      <c r="P7" s="8"/>
      <c r="Q7" s="5" t="s">
        <v>24</v>
      </c>
      <c r="R7" s="5" t="s">
        <v>25</v>
      </c>
      <c r="S7" s="8"/>
      <c r="T7" s="8"/>
      <c r="U7" s="8"/>
    </row>
    <row r="8">
      <c r="B8" s="9">
        <v>0.0</v>
      </c>
      <c r="C8" s="10"/>
      <c r="D8" s="9" t="s">
        <v>24</v>
      </c>
      <c r="E8" s="9" t="s">
        <v>25</v>
      </c>
      <c r="F8" s="10"/>
      <c r="G8" s="12" t="s">
        <v>26</v>
      </c>
      <c r="H8" s="10"/>
      <c r="I8" s="10"/>
      <c r="J8" s="10"/>
      <c r="K8" s="10"/>
      <c r="L8" s="10"/>
      <c r="M8" s="9" t="s">
        <v>26</v>
      </c>
      <c r="O8" s="9">
        <v>0.0</v>
      </c>
      <c r="P8" s="10"/>
      <c r="Q8" s="9" t="s">
        <v>24</v>
      </c>
      <c r="R8" s="9" t="s">
        <v>25</v>
      </c>
      <c r="S8" s="10"/>
      <c r="T8" s="10"/>
      <c r="U8" s="10"/>
    </row>
    <row r="9">
      <c r="B9" s="5">
        <v>0.0</v>
      </c>
      <c r="C9" s="8"/>
      <c r="D9" s="5" t="s">
        <v>24</v>
      </c>
      <c r="E9" s="5" t="s">
        <v>25</v>
      </c>
      <c r="F9" s="8"/>
      <c r="G9" s="7" t="s">
        <v>26</v>
      </c>
      <c r="H9" s="8"/>
      <c r="I9" s="8"/>
      <c r="J9" s="8"/>
      <c r="K9" s="8"/>
      <c r="L9" s="8"/>
      <c r="M9" s="5" t="s">
        <v>26</v>
      </c>
      <c r="O9" s="5">
        <v>0.0</v>
      </c>
      <c r="P9" s="8"/>
      <c r="Q9" s="5" t="s">
        <v>24</v>
      </c>
      <c r="R9" s="5" t="s">
        <v>25</v>
      </c>
      <c r="S9" s="8"/>
      <c r="T9" s="8"/>
      <c r="U9" s="8"/>
    </row>
    <row r="10">
      <c r="B10" s="9">
        <v>0.0</v>
      </c>
      <c r="C10" s="10"/>
      <c r="D10" s="9" t="s">
        <v>24</v>
      </c>
      <c r="E10" s="9" t="s">
        <v>25</v>
      </c>
      <c r="F10" s="10"/>
      <c r="G10" s="12" t="s">
        <v>26</v>
      </c>
      <c r="H10" s="10"/>
      <c r="I10" s="10"/>
      <c r="J10" s="10"/>
      <c r="K10" s="10"/>
      <c r="L10" s="10"/>
      <c r="M10" s="9" t="s">
        <v>26</v>
      </c>
      <c r="O10" s="9">
        <v>0.0</v>
      </c>
      <c r="P10" s="10"/>
      <c r="Q10" s="9" t="s">
        <v>24</v>
      </c>
      <c r="R10" s="9" t="s">
        <v>25</v>
      </c>
      <c r="S10" s="10"/>
      <c r="T10" s="10"/>
      <c r="U10" s="10"/>
    </row>
    <row r="11">
      <c r="B11" s="5">
        <v>0.0</v>
      </c>
      <c r="C11" s="6"/>
      <c r="D11" s="5" t="s">
        <v>24</v>
      </c>
      <c r="E11" s="5" t="s">
        <v>25</v>
      </c>
      <c r="F11" s="6"/>
      <c r="G11" s="7" t="s">
        <v>26</v>
      </c>
      <c r="H11" s="6"/>
      <c r="I11" s="6"/>
      <c r="J11" s="6"/>
      <c r="K11" s="6"/>
      <c r="L11" s="6"/>
      <c r="M11" s="5" t="s">
        <v>26</v>
      </c>
      <c r="O11" s="5">
        <v>0.0</v>
      </c>
      <c r="P11" s="8"/>
      <c r="Q11" s="5" t="s">
        <v>24</v>
      </c>
      <c r="R11" s="5" t="s">
        <v>25</v>
      </c>
      <c r="S11" s="8"/>
      <c r="T11" s="8"/>
      <c r="U11" s="8"/>
    </row>
    <row r="12">
      <c r="B12" s="9">
        <v>0.0</v>
      </c>
      <c r="C12" s="11"/>
      <c r="D12" s="9" t="s">
        <v>24</v>
      </c>
      <c r="E12" s="9" t="s">
        <v>25</v>
      </c>
      <c r="F12" s="11"/>
      <c r="G12" s="12" t="s">
        <v>26</v>
      </c>
      <c r="H12" s="11"/>
      <c r="I12" s="11"/>
      <c r="J12" s="11"/>
      <c r="K12" s="11"/>
      <c r="L12" s="11"/>
      <c r="M12" s="9" t="s">
        <v>26</v>
      </c>
      <c r="O12" s="9">
        <v>0.0</v>
      </c>
      <c r="P12" s="10"/>
      <c r="Q12" s="9" t="s">
        <v>24</v>
      </c>
      <c r="R12" s="9" t="s">
        <v>25</v>
      </c>
      <c r="S12" s="10"/>
      <c r="T12" s="10"/>
      <c r="U12" s="10"/>
    </row>
    <row r="13">
      <c r="B13" s="5">
        <v>0.0</v>
      </c>
      <c r="C13" s="6"/>
      <c r="D13" s="5" t="s">
        <v>24</v>
      </c>
      <c r="E13" s="5" t="s">
        <v>25</v>
      </c>
      <c r="F13" s="6"/>
      <c r="G13" s="7" t="s">
        <v>26</v>
      </c>
      <c r="H13" s="6"/>
      <c r="I13" s="6"/>
      <c r="J13" s="6"/>
      <c r="K13" s="6"/>
      <c r="L13" s="6"/>
      <c r="M13" s="5" t="s">
        <v>26</v>
      </c>
      <c r="O13" s="5">
        <v>0.0</v>
      </c>
      <c r="P13" s="8"/>
      <c r="Q13" s="5" t="s">
        <v>24</v>
      </c>
      <c r="R13" s="5" t="s">
        <v>25</v>
      </c>
      <c r="S13" s="8"/>
      <c r="T13" s="8"/>
      <c r="U13" s="8"/>
    </row>
    <row r="14">
      <c r="B14" s="9">
        <v>0.0</v>
      </c>
      <c r="C14" s="11"/>
      <c r="D14" s="9" t="s">
        <v>24</v>
      </c>
      <c r="E14" s="9" t="s">
        <v>25</v>
      </c>
      <c r="F14" s="11"/>
      <c r="G14" s="12" t="s">
        <v>26</v>
      </c>
      <c r="H14" s="11"/>
      <c r="I14" s="11"/>
      <c r="J14" s="11"/>
      <c r="K14" s="11"/>
      <c r="L14" s="11"/>
      <c r="M14" s="9" t="s">
        <v>26</v>
      </c>
      <c r="O14" s="9">
        <v>0.0</v>
      </c>
      <c r="P14" s="10"/>
      <c r="Q14" s="9" t="s">
        <v>24</v>
      </c>
      <c r="R14" s="9" t="s">
        <v>25</v>
      </c>
      <c r="S14" s="10"/>
      <c r="T14" s="10"/>
      <c r="U14" s="10"/>
    </row>
    <row r="15">
      <c r="B15" s="5">
        <v>0.0</v>
      </c>
      <c r="C15" s="8"/>
      <c r="D15" s="5" t="s">
        <v>24</v>
      </c>
      <c r="E15" s="5" t="s">
        <v>25</v>
      </c>
      <c r="F15" s="8"/>
      <c r="G15" s="7" t="s">
        <v>26</v>
      </c>
      <c r="H15" s="8"/>
      <c r="I15" s="8"/>
      <c r="J15" s="8"/>
      <c r="K15" s="8"/>
      <c r="L15" s="8"/>
      <c r="M15" s="5" t="s">
        <v>26</v>
      </c>
      <c r="O15" s="5">
        <v>0.0</v>
      </c>
      <c r="P15" s="8"/>
      <c r="Q15" s="5" t="s">
        <v>24</v>
      </c>
      <c r="R15" s="5" t="s">
        <v>25</v>
      </c>
      <c r="S15" s="8"/>
      <c r="T15" s="8"/>
      <c r="U15" s="8"/>
    </row>
    <row r="16">
      <c r="B16" s="9">
        <v>0.0</v>
      </c>
      <c r="C16" s="10"/>
      <c r="D16" s="9" t="s">
        <v>24</v>
      </c>
      <c r="E16" s="9" t="s">
        <v>25</v>
      </c>
      <c r="F16" s="10"/>
      <c r="G16" s="12" t="s">
        <v>26</v>
      </c>
      <c r="H16" s="10"/>
      <c r="I16" s="10"/>
      <c r="J16" s="10"/>
      <c r="K16" s="10"/>
      <c r="L16" s="10"/>
      <c r="M16" s="9" t="s">
        <v>26</v>
      </c>
      <c r="O16" s="9">
        <v>0.0</v>
      </c>
      <c r="P16" s="10"/>
      <c r="Q16" s="9" t="s">
        <v>24</v>
      </c>
      <c r="R16" s="9" t="s">
        <v>25</v>
      </c>
      <c r="S16" s="10"/>
      <c r="T16" s="10"/>
      <c r="U16" s="10"/>
    </row>
    <row r="17">
      <c r="B17" s="5">
        <v>0.0</v>
      </c>
      <c r="C17" s="8"/>
      <c r="D17" s="5" t="s">
        <v>24</v>
      </c>
      <c r="E17" s="5" t="s">
        <v>25</v>
      </c>
      <c r="F17" s="8"/>
      <c r="G17" s="7" t="s">
        <v>26</v>
      </c>
      <c r="H17" s="8"/>
      <c r="I17" s="8"/>
      <c r="J17" s="8"/>
      <c r="K17" s="8"/>
      <c r="L17" s="8"/>
      <c r="M17" s="5" t="s">
        <v>26</v>
      </c>
      <c r="O17" s="5">
        <v>0.0</v>
      </c>
      <c r="P17" s="8"/>
      <c r="Q17" s="5" t="s">
        <v>24</v>
      </c>
      <c r="R17" s="5" t="s">
        <v>25</v>
      </c>
      <c r="S17" s="8"/>
      <c r="T17" s="8"/>
      <c r="U17" s="8"/>
    </row>
    <row r="18">
      <c r="B18" s="9">
        <v>0.0</v>
      </c>
      <c r="C18" s="10"/>
      <c r="D18" s="9" t="s">
        <v>24</v>
      </c>
      <c r="E18" s="9" t="s">
        <v>25</v>
      </c>
      <c r="F18" s="10"/>
      <c r="G18" s="12" t="s">
        <v>26</v>
      </c>
      <c r="H18" s="10"/>
      <c r="I18" s="10"/>
      <c r="J18" s="10"/>
      <c r="K18" s="10"/>
      <c r="L18" s="10"/>
      <c r="M18" s="9" t="s">
        <v>26</v>
      </c>
      <c r="O18" s="9">
        <v>0.0</v>
      </c>
      <c r="P18" s="10"/>
      <c r="Q18" s="9" t="s">
        <v>24</v>
      </c>
      <c r="R18" s="9" t="s">
        <v>25</v>
      </c>
      <c r="S18" s="10"/>
      <c r="T18" s="10"/>
      <c r="U18" s="10"/>
    </row>
    <row r="19">
      <c r="B19" s="5">
        <v>0.0</v>
      </c>
      <c r="C19" s="8"/>
      <c r="D19" s="5" t="s">
        <v>24</v>
      </c>
      <c r="E19" s="5" t="s">
        <v>25</v>
      </c>
      <c r="F19" s="8"/>
      <c r="G19" s="7" t="s">
        <v>26</v>
      </c>
      <c r="H19" s="8"/>
      <c r="I19" s="8"/>
      <c r="J19" s="8"/>
      <c r="K19" s="8"/>
      <c r="L19" s="8"/>
      <c r="M19" s="5" t="s">
        <v>26</v>
      </c>
      <c r="O19" s="5">
        <v>0.0</v>
      </c>
      <c r="P19" s="8"/>
      <c r="Q19" s="5" t="s">
        <v>24</v>
      </c>
      <c r="R19" s="5" t="s">
        <v>25</v>
      </c>
      <c r="S19" s="8"/>
      <c r="T19" s="8"/>
      <c r="U19" s="8"/>
    </row>
    <row r="20">
      <c r="B20" s="9">
        <v>0.0</v>
      </c>
      <c r="C20" s="10"/>
      <c r="D20" s="9" t="s">
        <v>24</v>
      </c>
      <c r="E20" s="9" t="s">
        <v>25</v>
      </c>
      <c r="F20" s="10"/>
      <c r="G20" s="12" t="s">
        <v>26</v>
      </c>
      <c r="H20" s="10"/>
      <c r="I20" s="10"/>
      <c r="J20" s="10"/>
      <c r="K20" s="10"/>
      <c r="L20" s="10"/>
      <c r="M20" s="9" t="s">
        <v>26</v>
      </c>
      <c r="O20" s="9">
        <v>0.0</v>
      </c>
      <c r="P20" s="10"/>
      <c r="Q20" s="9" t="s">
        <v>24</v>
      </c>
      <c r="R20" s="9" t="s">
        <v>25</v>
      </c>
      <c r="S20" s="10"/>
      <c r="T20" s="10"/>
      <c r="U20" s="10"/>
    </row>
    <row r="21">
      <c r="B21" s="5">
        <v>0.0</v>
      </c>
      <c r="C21" s="8"/>
      <c r="D21" s="5" t="s">
        <v>24</v>
      </c>
      <c r="E21" s="5" t="s">
        <v>25</v>
      </c>
      <c r="F21" s="8"/>
      <c r="G21" s="7" t="s">
        <v>26</v>
      </c>
      <c r="H21" s="8"/>
      <c r="I21" s="8"/>
      <c r="J21" s="8"/>
      <c r="K21" s="8"/>
      <c r="L21" s="8"/>
      <c r="M21" s="5" t="s">
        <v>26</v>
      </c>
      <c r="O21" s="5">
        <v>0.0</v>
      </c>
      <c r="P21" s="8"/>
      <c r="Q21" s="5" t="s">
        <v>24</v>
      </c>
      <c r="R21" s="5" t="s">
        <v>25</v>
      </c>
      <c r="S21" s="8"/>
      <c r="T21" s="8"/>
      <c r="U21" s="8"/>
    </row>
    <row r="22">
      <c r="B22" s="9">
        <v>0.0</v>
      </c>
      <c r="C22" s="10"/>
      <c r="D22" s="9" t="s">
        <v>24</v>
      </c>
      <c r="E22" s="9" t="s">
        <v>25</v>
      </c>
      <c r="F22" s="10"/>
      <c r="G22" s="12" t="s">
        <v>26</v>
      </c>
      <c r="H22" s="10"/>
      <c r="I22" s="10"/>
      <c r="J22" s="10"/>
      <c r="K22" s="10"/>
      <c r="L22" s="10"/>
      <c r="M22" s="9" t="s">
        <v>26</v>
      </c>
      <c r="O22" s="9">
        <v>0.0</v>
      </c>
      <c r="P22" s="10"/>
      <c r="Q22" s="9" t="s">
        <v>24</v>
      </c>
      <c r="R22" s="9" t="s">
        <v>25</v>
      </c>
      <c r="S22" s="10"/>
      <c r="T22" s="10"/>
      <c r="U22" s="10"/>
    </row>
    <row r="23">
      <c r="B23" s="5">
        <v>0.0</v>
      </c>
      <c r="C23" s="6"/>
      <c r="D23" s="5" t="s">
        <v>24</v>
      </c>
      <c r="E23" s="5" t="s">
        <v>25</v>
      </c>
      <c r="F23" s="6"/>
      <c r="G23" s="7" t="s">
        <v>26</v>
      </c>
      <c r="H23" s="6"/>
      <c r="I23" s="6"/>
      <c r="J23" s="6"/>
      <c r="K23" s="6"/>
      <c r="L23" s="6"/>
      <c r="M23" s="5" t="s">
        <v>26</v>
      </c>
      <c r="O23" s="5">
        <v>0.0</v>
      </c>
      <c r="P23" s="8"/>
      <c r="Q23" s="5" t="s">
        <v>24</v>
      </c>
      <c r="R23" s="5" t="s">
        <v>25</v>
      </c>
      <c r="S23" s="8"/>
      <c r="T23" s="8"/>
      <c r="U23" s="8"/>
    </row>
    <row r="24">
      <c r="B24" s="9">
        <v>0.0</v>
      </c>
      <c r="C24" s="11"/>
      <c r="D24" s="9" t="s">
        <v>24</v>
      </c>
      <c r="E24" s="9" t="s">
        <v>25</v>
      </c>
      <c r="F24" s="11"/>
      <c r="G24" s="12" t="s">
        <v>26</v>
      </c>
      <c r="H24" s="11"/>
      <c r="I24" s="11"/>
      <c r="J24" s="11"/>
      <c r="K24" s="11"/>
      <c r="L24" s="11"/>
      <c r="M24" s="9" t="s">
        <v>26</v>
      </c>
      <c r="O24" s="9">
        <v>0.0</v>
      </c>
      <c r="P24" s="10"/>
      <c r="Q24" s="9" t="s">
        <v>24</v>
      </c>
      <c r="R24" s="9" t="s">
        <v>25</v>
      </c>
      <c r="S24" s="10"/>
      <c r="T24" s="10"/>
      <c r="U24" s="10"/>
    </row>
    <row r="25">
      <c r="B25" s="5">
        <v>0.0</v>
      </c>
      <c r="C25" s="6"/>
      <c r="D25" s="5" t="s">
        <v>24</v>
      </c>
      <c r="E25" s="5" t="s">
        <v>25</v>
      </c>
      <c r="F25" s="6"/>
      <c r="G25" s="7" t="s">
        <v>26</v>
      </c>
      <c r="H25" s="6"/>
      <c r="I25" s="6"/>
      <c r="J25" s="6"/>
      <c r="K25" s="6"/>
      <c r="L25" s="6"/>
      <c r="M25" s="5" t="s">
        <v>26</v>
      </c>
      <c r="O25" s="5">
        <v>0.0</v>
      </c>
      <c r="P25" s="8"/>
      <c r="Q25" s="5" t="s">
        <v>24</v>
      </c>
      <c r="R25" s="5" t="s">
        <v>25</v>
      </c>
      <c r="S25" s="8"/>
      <c r="T25" s="8"/>
      <c r="U25" s="8"/>
    </row>
    <row r="26">
      <c r="B26" s="9">
        <v>0.0</v>
      </c>
      <c r="C26" s="11"/>
      <c r="D26" s="9" t="s">
        <v>24</v>
      </c>
      <c r="E26" s="9" t="s">
        <v>25</v>
      </c>
      <c r="F26" s="11"/>
      <c r="G26" s="12" t="s">
        <v>26</v>
      </c>
      <c r="H26" s="11"/>
      <c r="I26" s="11"/>
      <c r="J26" s="11"/>
      <c r="K26" s="11"/>
      <c r="L26" s="11"/>
      <c r="M26" s="9" t="s">
        <v>26</v>
      </c>
      <c r="O26" s="9">
        <v>0.0</v>
      </c>
      <c r="P26" s="10"/>
      <c r="Q26" s="9" t="s">
        <v>24</v>
      </c>
      <c r="R26" s="9" t="s">
        <v>25</v>
      </c>
      <c r="S26" s="10"/>
      <c r="T26" s="10"/>
      <c r="U26" s="10"/>
    </row>
    <row r="27">
      <c r="B27" s="28">
        <v>0.0</v>
      </c>
      <c r="C27" s="29"/>
      <c r="D27" s="5" t="s">
        <v>24</v>
      </c>
      <c r="E27" s="5" t="s">
        <v>25</v>
      </c>
      <c r="F27" s="29"/>
      <c r="G27" s="7" t="s">
        <v>26</v>
      </c>
      <c r="H27" s="29"/>
      <c r="I27" s="29"/>
      <c r="J27" s="29"/>
      <c r="K27" s="29"/>
      <c r="L27" s="29"/>
      <c r="M27" s="28" t="s">
        <v>26</v>
      </c>
      <c r="O27" s="28">
        <v>0.0</v>
      </c>
      <c r="P27" s="29"/>
      <c r="Q27" s="5" t="s">
        <v>24</v>
      </c>
      <c r="R27" s="5" t="s">
        <v>25</v>
      </c>
      <c r="S27" s="8"/>
      <c r="T27" s="8"/>
      <c r="U27" s="8"/>
    </row>
    <row r="28">
      <c r="B28" s="31">
        <v>0.0</v>
      </c>
      <c r="C28" s="32"/>
      <c r="D28" s="9" t="s">
        <v>24</v>
      </c>
      <c r="E28" s="9" t="s">
        <v>25</v>
      </c>
      <c r="F28" s="32"/>
      <c r="G28" s="12" t="s">
        <v>26</v>
      </c>
      <c r="H28" s="32"/>
      <c r="I28" s="32"/>
      <c r="J28" s="32"/>
      <c r="K28" s="32"/>
      <c r="L28" s="32"/>
      <c r="M28" s="31" t="s">
        <v>26</v>
      </c>
      <c r="O28" s="31">
        <v>0.0</v>
      </c>
      <c r="P28" s="32"/>
      <c r="Q28" s="9" t="s">
        <v>24</v>
      </c>
      <c r="R28" s="9" t="s">
        <v>25</v>
      </c>
      <c r="S28" s="10"/>
      <c r="T28" s="10"/>
      <c r="U28" s="10"/>
    </row>
    <row r="29">
      <c r="B29" s="28">
        <v>0.0</v>
      </c>
      <c r="C29" s="29"/>
      <c r="D29" s="5" t="s">
        <v>24</v>
      </c>
      <c r="E29" s="5" t="s">
        <v>25</v>
      </c>
      <c r="F29" s="29"/>
      <c r="G29" s="7" t="s">
        <v>26</v>
      </c>
      <c r="H29" s="29"/>
      <c r="I29" s="29"/>
      <c r="J29" s="29"/>
      <c r="K29" s="29"/>
      <c r="L29" s="29"/>
      <c r="M29" s="28" t="s">
        <v>26</v>
      </c>
      <c r="O29" s="28">
        <v>0.0</v>
      </c>
      <c r="P29" s="29"/>
      <c r="Q29" s="5" t="s">
        <v>24</v>
      </c>
      <c r="R29" s="5" t="s">
        <v>25</v>
      </c>
      <c r="S29" s="8"/>
      <c r="T29" s="8"/>
      <c r="U29" s="8"/>
    </row>
    <row r="30">
      <c r="B30" s="31">
        <v>0.0</v>
      </c>
      <c r="C30" s="32"/>
      <c r="D30" s="9" t="s">
        <v>24</v>
      </c>
      <c r="E30" s="9" t="s">
        <v>25</v>
      </c>
      <c r="F30" s="32"/>
      <c r="G30" s="12" t="s">
        <v>26</v>
      </c>
      <c r="H30" s="32"/>
      <c r="I30" s="32"/>
      <c r="J30" s="32"/>
      <c r="K30" s="32"/>
      <c r="L30" s="32"/>
      <c r="M30" s="31" t="s">
        <v>26</v>
      </c>
      <c r="O30" s="31">
        <v>0.0</v>
      </c>
      <c r="P30" s="32"/>
      <c r="Q30" s="9" t="s">
        <v>24</v>
      </c>
      <c r="R30" s="9" t="s">
        <v>25</v>
      </c>
      <c r="S30" s="10"/>
      <c r="T30" s="10"/>
      <c r="U30" s="10"/>
    </row>
    <row r="31">
      <c r="B31" s="28">
        <v>0.0</v>
      </c>
      <c r="C31" s="29"/>
      <c r="D31" s="5" t="s">
        <v>24</v>
      </c>
      <c r="E31" s="5" t="s">
        <v>25</v>
      </c>
      <c r="F31" s="29"/>
      <c r="G31" s="7" t="s">
        <v>26</v>
      </c>
      <c r="H31" s="29"/>
      <c r="I31" s="29"/>
      <c r="J31" s="29"/>
      <c r="K31" s="29"/>
      <c r="L31" s="29"/>
      <c r="M31" s="28" t="s">
        <v>26</v>
      </c>
      <c r="O31" s="28">
        <v>0.0</v>
      </c>
      <c r="P31" s="29"/>
      <c r="Q31" s="5" t="s">
        <v>24</v>
      </c>
      <c r="R31" s="5" t="s">
        <v>25</v>
      </c>
      <c r="S31" s="8"/>
      <c r="T31" s="8"/>
      <c r="U31" s="8"/>
    </row>
    <row r="32">
      <c r="B32" s="31">
        <v>0.0</v>
      </c>
      <c r="C32" s="32"/>
      <c r="D32" s="9" t="s">
        <v>24</v>
      </c>
      <c r="E32" s="9" t="s">
        <v>25</v>
      </c>
      <c r="F32" s="32"/>
      <c r="G32" s="12" t="s">
        <v>26</v>
      </c>
      <c r="H32" s="32"/>
      <c r="I32" s="32"/>
      <c r="J32" s="32"/>
      <c r="K32" s="32"/>
      <c r="L32" s="32"/>
      <c r="M32" s="31" t="s">
        <v>26</v>
      </c>
      <c r="O32" s="31">
        <v>0.0</v>
      </c>
      <c r="P32" s="32"/>
      <c r="Q32" s="9" t="s">
        <v>24</v>
      </c>
      <c r="R32" s="9" t="s">
        <v>25</v>
      </c>
      <c r="S32" s="10"/>
      <c r="T32" s="10"/>
      <c r="U32" s="10"/>
    </row>
    <row r="33">
      <c r="B33" s="28">
        <v>0.0</v>
      </c>
      <c r="C33" s="29"/>
      <c r="D33" s="5" t="s">
        <v>24</v>
      </c>
      <c r="E33" s="5" t="s">
        <v>25</v>
      </c>
      <c r="F33" s="29"/>
      <c r="G33" s="7" t="s">
        <v>26</v>
      </c>
      <c r="H33" s="29"/>
      <c r="I33" s="29"/>
      <c r="J33" s="29"/>
      <c r="K33" s="29"/>
      <c r="L33" s="29"/>
      <c r="M33" s="28" t="s">
        <v>26</v>
      </c>
      <c r="O33" s="28">
        <v>0.0</v>
      </c>
      <c r="P33" s="29"/>
      <c r="Q33" s="5" t="s">
        <v>24</v>
      </c>
      <c r="R33" s="5" t="s">
        <v>25</v>
      </c>
      <c r="S33" s="8"/>
      <c r="T33" s="8"/>
      <c r="U33" s="8"/>
    </row>
    <row r="34">
      <c r="B34" s="31">
        <v>0.0</v>
      </c>
      <c r="C34" s="32"/>
      <c r="D34" s="9" t="s">
        <v>24</v>
      </c>
      <c r="E34" s="9" t="s">
        <v>25</v>
      </c>
      <c r="F34" s="32"/>
      <c r="G34" s="12" t="s">
        <v>26</v>
      </c>
      <c r="H34" s="32"/>
      <c r="I34" s="32"/>
      <c r="J34" s="32"/>
      <c r="K34" s="32"/>
      <c r="L34" s="32"/>
      <c r="M34" s="31" t="s">
        <v>26</v>
      </c>
      <c r="O34" s="31">
        <v>0.0</v>
      </c>
      <c r="P34" s="32"/>
      <c r="Q34" s="9" t="s">
        <v>24</v>
      </c>
      <c r="R34" s="9" t="s">
        <v>25</v>
      </c>
      <c r="S34" s="10"/>
      <c r="T34" s="10"/>
      <c r="U34" s="10"/>
    </row>
    <row r="35">
      <c r="B35" s="28">
        <v>0.0</v>
      </c>
      <c r="C35" s="29"/>
      <c r="D35" s="5" t="s">
        <v>24</v>
      </c>
      <c r="E35" s="5" t="s">
        <v>25</v>
      </c>
      <c r="F35" s="29"/>
      <c r="G35" s="7" t="s">
        <v>26</v>
      </c>
      <c r="H35" s="29"/>
      <c r="I35" s="29"/>
      <c r="J35" s="29"/>
      <c r="K35" s="29"/>
      <c r="L35" s="29"/>
      <c r="M35" s="28" t="s">
        <v>26</v>
      </c>
      <c r="O35" s="28">
        <v>0.0</v>
      </c>
      <c r="P35" s="29"/>
      <c r="Q35" s="5" t="s">
        <v>24</v>
      </c>
      <c r="R35" s="5" t="s">
        <v>25</v>
      </c>
      <c r="S35" s="8"/>
      <c r="T35" s="8"/>
      <c r="U35" s="8"/>
    </row>
    <row r="36">
      <c r="B36" s="31">
        <v>0.0</v>
      </c>
      <c r="C36" s="32"/>
      <c r="D36" s="9" t="s">
        <v>24</v>
      </c>
      <c r="E36" s="9" t="s">
        <v>25</v>
      </c>
      <c r="F36" s="32"/>
      <c r="G36" s="12" t="s">
        <v>26</v>
      </c>
      <c r="H36" s="32"/>
      <c r="I36" s="32"/>
      <c r="J36" s="32"/>
      <c r="K36" s="32"/>
      <c r="L36" s="32"/>
      <c r="M36" s="31" t="s">
        <v>26</v>
      </c>
      <c r="O36" s="31">
        <v>0.0</v>
      </c>
      <c r="P36" s="32"/>
      <c r="Q36" s="9" t="s">
        <v>24</v>
      </c>
      <c r="R36" s="9" t="s">
        <v>25</v>
      </c>
      <c r="S36" s="10"/>
      <c r="T36" s="10"/>
      <c r="U36" s="10"/>
    </row>
    <row r="37">
      <c r="B37" s="28">
        <v>0.0</v>
      </c>
      <c r="C37" s="29"/>
      <c r="D37" s="5" t="s">
        <v>24</v>
      </c>
      <c r="E37" s="5" t="s">
        <v>25</v>
      </c>
      <c r="F37" s="29"/>
      <c r="G37" s="7" t="s">
        <v>26</v>
      </c>
      <c r="H37" s="29"/>
      <c r="I37" s="29"/>
      <c r="J37" s="29"/>
      <c r="K37" s="29"/>
      <c r="L37" s="29"/>
      <c r="M37" s="28" t="s">
        <v>26</v>
      </c>
      <c r="O37" s="28">
        <v>0.0</v>
      </c>
      <c r="P37" s="29"/>
      <c r="Q37" s="5" t="s">
        <v>24</v>
      </c>
      <c r="R37" s="5" t="s">
        <v>25</v>
      </c>
      <c r="S37" s="8"/>
      <c r="T37" s="8"/>
      <c r="U37" s="8"/>
    </row>
    <row r="38">
      <c r="B38" s="31">
        <v>0.0</v>
      </c>
      <c r="C38" s="32"/>
      <c r="D38" s="9" t="s">
        <v>24</v>
      </c>
      <c r="E38" s="9" t="s">
        <v>25</v>
      </c>
      <c r="F38" s="32"/>
      <c r="G38" s="12" t="s">
        <v>26</v>
      </c>
      <c r="H38" s="32"/>
      <c r="I38" s="32"/>
      <c r="J38" s="32"/>
      <c r="K38" s="32"/>
      <c r="L38" s="32"/>
      <c r="M38" s="31" t="s">
        <v>26</v>
      </c>
      <c r="O38" s="31">
        <v>0.0</v>
      </c>
      <c r="P38" s="32"/>
      <c r="Q38" s="9" t="s">
        <v>24</v>
      </c>
      <c r="R38" s="9" t="s">
        <v>25</v>
      </c>
      <c r="S38" s="10"/>
      <c r="T38" s="10"/>
      <c r="U38" s="10"/>
    </row>
    <row r="39">
      <c r="B39" s="28">
        <v>0.0</v>
      </c>
      <c r="C39" s="29"/>
      <c r="D39" s="5" t="s">
        <v>24</v>
      </c>
      <c r="E39" s="5" t="s">
        <v>25</v>
      </c>
      <c r="F39" s="29"/>
      <c r="G39" s="7" t="s">
        <v>26</v>
      </c>
      <c r="H39" s="29"/>
      <c r="I39" s="29"/>
      <c r="J39" s="29"/>
      <c r="K39" s="29"/>
      <c r="L39" s="29"/>
      <c r="M39" s="28" t="s">
        <v>26</v>
      </c>
      <c r="O39" s="28">
        <v>0.0</v>
      </c>
      <c r="P39" s="29"/>
      <c r="Q39" s="5" t="s">
        <v>24</v>
      </c>
      <c r="R39" s="5" t="s">
        <v>25</v>
      </c>
      <c r="S39" s="8"/>
      <c r="T39" s="8"/>
      <c r="U39" s="8"/>
    </row>
    <row r="40">
      <c r="B40" s="31">
        <v>0.0</v>
      </c>
      <c r="C40" s="32"/>
      <c r="D40" s="9" t="s">
        <v>24</v>
      </c>
      <c r="E40" s="9" t="s">
        <v>25</v>
      </c>
      <c r="F40" s="32"/>
      <c r="G40" s="12" t="s">
        <v>26</v>
      </c>
      <c r="H40" s="32"/>
      <c r="I40" s="32"/>
      <c r="J40" s="32"/>
      <c r="K40" s="32"/>
      <c r="L40" s="32"/>
      <c r="M40" s="31" t="s">
        <v>26</v>
      </c>
      <c r="O40" s="31">
        <v>0.0</v>
      </c>
      <c r="P40" s="32"/>
      <c r="Q40" s="9" t="s">
        <v>24</v>
      </c>
      <c r="R40" s="9" t="s">
        <v>25</v>
      </c>
      <c r="S40" s="10"/>
      <c r="T40" s="10"/>
      <c r="U40" s="10"/>
    </row>
    <row r="41">
      <c r="B41" s="1"/>
      <c r="O41" s="37"/>
    </row>
  </sheetData>
  <mergeCells count="46">
    <mergeCell ref="U16:Z16"/>
    <mergeCell ref="U12:Z12"/>
    <mergeCell ref="U15:Z15"/>
    <mergeCell ref="U19:Z19"/>
    <mergeCell ref="U24:Z24"/>
    <mergeCell ref="U21:Z21"/>
    <mergeCell ref="U32:Z32"/>
    <mergeCell ref="U33:Z33"/>
    <mergeCell ref="U30:Z30"/>
    <mergeCell ref="U29:Z29"/>
    <mergeCell ref="U10:Z10"/>
    <mergeCell ref="U8:Z8"/>
    <mergeCell ref="U5:Z5"/>
    <mergeCell ref="U6:Z6"/>
    <mergeCell ref="U35:Z35"/>
    <mergeCell ref="U36:Z36"/>
    <mergeCell ref="U37:Z37"/>
    <mergeCell ref="U38:Z38"/>
    <mergeCell ref="U39:Z39"/>
    <mergeCell ref="U17:Z17"/>
    <mergeCell ref="U11:Z11"/>
    <mergeCell ref="U7:Z7"/>
    <mergeCell ref="U4:Z4"/>
    <mergeCell ref="O41:Z41"/>
    <mergeCell ref="B41:M41"/>
    <mergeCell ref="U9:Z9"/>
    <mergeCell ref="O1:Z1"/>
    <mergeCell ref="N1:N41"/>
    <mergeCell ref="A1:A41"/>
    <mergeCell ref="AA1:AA41"/>
    <mergeCell ref="U40:Z40"/>
    <mergeCell ref="B1:M1"/>
    <mergeCell ref="U25:Z25"/>
    <mergeCell ref="U26:Z26"/>
    <mergeCell ref="U28:Z28"/>
    <mergeCell ref="U27:Z27"/>
    <mergeCell ref="U14:Z14"/>
    <mergeCell ref="U13:Z13"/>
    <mergeCell ref="U22:Z22"/>
    <mergeCell ref="U23:Z23"/>
    <mergeCell ref="U18:Z18"/>
    <mergeCell ref="U20:Z20"/>
    <mergeCell ref="U34:Z34"/>
    <mergeCell ref="U31:Z31"/>
    <mergeCell ref="U2:Z2"/>
    <mergeCell ref="U3:Z3"/>
  </mergeCells>
  <dataValidations>
    <dataValidation type="list" allowBlank="1" sqref="D3:D40 Q3:Q40">
      <formula1>'Stat Modification'!$Y$3:$Y$100</formula1>
    </dataValidation>
    <dataValidation type="list" allowBlank="1" sqref="E3:E40 R3:R40">
      <formula1>'Skills &amp; Exploits'!$V$2:$V$1000</formula1>
    </dataValidation>
    <dataValidation type="list" allowBlank="1" sqref="G3:G40">
      <formula1>'Stat Modification'!$B$3:$B</formula1>
    </dataValidation>
    <dataValidation type="list" allowBlank="1" sqref="M3:M40">
      <formula1>"Ranged,Melee,-"</formula1>
    </dataValidation>
  </dataValidation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3.14"/>
    <col customWidth="1" min="2" max="2" width="4.43"/>
    <col customWidth="1" min="3" max="3" width="28.71"/>
    <col customWidth="1" min="6" max="7" width="7.29"/>
    <col customWidth="1" min="8" max="8" width="14.43"/>
    <col customWidth="1" min="9" max="9" width="5.86"/>
    <col customWidth="1" min="10" max="10" width="16.0"/>
    <col customWidth="1" min="11" max="11" width="5.86"/>
    <col customWidth="1" min="12" max="12" width="4.43"/>
    <col customWidth="1" min="13" max="13" width="13.57"/>
    <col customWidth="1" min="14" max="14" width="7.29"/>
    <col customWidth="1" min="16" max="17" width="7.29"/>
    <col customWidth="1" min="20" max="20" width="3.71"/>
    <col customWidth="1" min="22" max="22" width="3.71"/>
  </cols>
  <sheetData>
    <row r="1">
      <c r="A1" s="1"/>
      <c r="B1" s="2" t="s">
        <v>5</v>
      </c>
      <c r="V1" s="1"/>
    </row>
    <row r="2">
      <c r="B2" s="3" t="s">
        <v>2</v>
      </c>
      <c r="C2" s="3" t="s">
        <v>3</v>
      </c>
      <c r="D2" s="3" t="s">
        <v>4</v>
      </c>
      <c r="E2" s="3" t="s">
        <v>6</v>
      </c>
      <c r="F2" s="4" t="s">
        <v>9</v>
      </c>
      <c r="G2" s="4" t="s">
        <v>11</v>
      </c>
      <c r="H2" s="4" t="s">
        <v>13</v>
      </c>
      <c r="I2" s="3" t="s">
        <v>11</v>
      </c>
      <c r="J2" s="4" t="s">
        <v>15</v>
      </c>
      <c r="K2" s="3" t="s">
        <v>11</v>
      </c>
      <c r="L2" s="4" t="s">
        <v>18</v>
      </c>
      <c r="N2" s="3" t="s">
        <v>11</v>
      </c>
      <c r="O2" s="3" t="s">
        <v>19</v>
      </c>
      <c r="P2" s="3" t="s">
        <v>14</v>
      </c>
      <c r="R2" s="4" t="s">
        <v>21</v>
      </c>
      <c r="S2" s="4" t="s">
        <v>22</v>
      </c>
      <c r="T2" s="4" t="s">
        <v>23</v>
      </c>
    </row>
    <row r="3">
      <c r="B3" s="6">
        <v>0.0</v>
      </c>
      <c r="C3" s="5"/>
      <c r="D3" s="5" t="s">
        <v>24</v>
      </c>
      <c r="E3" s="5" t="s">
        <v>25</v>
      </c>
      <c r="F3" s="5"/>
      <c r="G3" s="5"/>
      <c r="H3" s="7" t="s">
        <v>26</v>
      </c>
      <c r="I3" s="5"/>
      <c r="J3" s="7" t="s">
        <v>26</v>
      </c>
      <c r="K3" s="8"/>
      <c r="L3" s="7" t="s">
        <v>26</v>
      </c>
      <c r="N3" s="5"/>
      <c r="O3" s="5" t="s">
        <v>26</v>
      </c>
      <c r="P3" s="5"/>
      <c r="R3" s="7" t="s">
        <v>26</v>
      </c>
      <c r="S3" s="7" t="s">
        <v>26</v>
      </c>
      <c r="T3" s="7" t="s">
        <v>26</v>
      </c>
    </row>
    <row r="4">
      <c r="B4" s="11">
        <v>0.0</v>
      </c>
      <c r="C4" s="11"/>
      <c r="D4" s="9" t="s">
        <v>24</v>
      </c>
      <c r="E4" s="9" t="s">
        <v>25</v>
      </c>
      <c r="F4" s="10"/>
      <c r="G4" s="10"/>
      <c r="H4" s="12" t="s">
        <v>26</v>
      </c>
      <c r="I4" s="10"/>
      <c r="J4" s="12" t="s">
        <v>26</v>
      </c>
      <c r="K4" s="10"/>
      <c r="L4" s="12" t="s">
        <v>26</v>
      </c>
      <c r="N4" s="10"/>
      <c r="O4" s="9" t="s">
        <v>26</v>
      </c>
      <c r="P4" s="10"/>
      <c r="R4" s="12" t="s">
        <v>26</v>
      </c>
      <c r="S4" s="12" t="s">
        <v>26</v>
      </c>
      <c r="T4" s="12" t="s">
        <v>26</v>
      </c>
    </row>
    <row r="5">
      <c r="B5" s="6">
        <v>0.0</v>
      </c>
      <c r="C5" s="8"/>
      <c r="D5" s="5" t="s">
        <v>24</v>
      </c>
      <c r="E5" s="5" t="s">
        <v>25</v>
      </c>
      <c r="F5" s="8"/>
      <c r="G5" s="8"/>
      <c r="H5" s="7" t="s">
        <v>26</v>
      </c>
      <c r="I5" s="8"/>
      <c r="J5" s="7" t="s">
        <v>26</v>
      </c>
      <c r="K5" s="8"/>
      <c r="L5" s="7" t="s">
        <v>26</v>
      </c>
      <c r="N5" s="8"/>
      <c r="O5" s="5" t="s">
        <v>26</v>
      </c>
      <c r="P5" s="8"/>
      <c r="R5" s="7" t="s">
        <v>26</v>
      </c>
      <c r="S5" s="7" t="s">
        <v>26</v>
      </c>
      <c r="T5" s="7" t="s">
        <v>26</v>
      </c>
    </row>
    <row r="6">
      <c r="B6" s="11">
        <v>0.0</v>
      </c>
      <c r="C6" s="10"/>
      <c r="D6" s="9" t="s">
        <v>24</v>
      </c>
      <c r="E6" s="9" t="s">
        <v>25</v>
      </c>
      <c r="F6" s="10"/>
      <c r="G6" s="10"/>
      <c r="H6" s="12" t="s">
        <v>26</v>
      </c>
      <c r="I6" s="10"/>
      <c r="J6" s="12" t="s">
        <v>26</v>
      </c>
      <c r="K6" s="10"/>
      <c r="L6" s="12" t="s">
        <v>26</v>
      </c>
      <c r="N6" s="10"/>
      <c r="O6" s="9" t="s">
        <v>26</v>
      </c>
      <c r="P6" s="10"/>
      <c r="R6" s="12" t="s">
        <v>26</v>
      </c>
      <c r="S6" s="12" t="s">
        <v>26</v>
      </c>
      <c r="T6" s="12" t="s">
        <v>26</v>
      </c>
    </row>
    <row r="7">
      <c r="B7" s="6">
        <v>0.0</v>
      </c>
      <c r="C7" s="8"/>
      <c r="D7" s="5" t="s">
        <v>24</v>
      </c>
      <c r="E7" s="5" t="s">
        <v>25</v>
      </c>
      <c r="F7" s="8"/>
      <c r="G7" s="8"/>
      <c r="H7" s="7" t="s">
        <v>26</v>
      </c>
      <c r="I7" s="8"/>
      <c r="J7" s="7" t="s">
        <v>26</v>
      </c>
      <c r="K7" s="8"/>
      <c r="L7" s="7" t="s">
        <v>26</v>
      </c>
      <c r="N7" s="8"/>
      <c r="O7" s="5" t="s">
        <v>26</v>
      </c>
      <c r="P7" s="8"/>
      <c r="R7" s="7" t="s">
        <v>26</v>
      </c>
      <c r="S7" s="7" t="s">
        <v>26</v>
      </c>
      <c r="T7" s="7" t="s">
        <v>26</v>
      </c>
    </row>
    <row r="8">
      <c r="B8" s="11">
        <v>0.0</v>
      </c>
      <c r="C8" s="10"/>
      <c r="D8" s="9" t="s">
        <v>24</v>
      </c>
      <c r="E8" s="9" t="s">
        <v>25</v>
      </c>
      <c r="F8" s="10"/>
      <c r="G8" s="10"/>
      <c r="H8" s="12" t="s">
        <v>26</v>
      </c>
      <c r="I8" s="10"/>
      <c r="J8" s="12" t="s">
        <v>26</v>
      </c>
      <c r="K8" s="10"/>
      <c r="L8" s="12" t="s">
        <v>26</v>
      </c>
      <c r="N8" s="10"/>
      <c r="O8" s="9" t="s">
        <v>26</v>
      </c>
      <c r="P8" s="10"/>
      <c r="R8" s="12" t="s">
        <v>26</v>
      </c>
      <c r="S8" s="12" t="s">
        <v>26</v>
      </c>
      <c r="T8" s="12" t="s">
        <v>26</v>
      </c>
    </row>
    <row r="9">
      <c r="B9" s="6">
        <v>0.0</v>
      </c>
      <c r="C9" s="8"/>
      <c r="D9" s="5" t="s">
        <v>24</v>
      </c>
      <c r="E9" s="5" t="s">
        <v>25</v>
      </c>
      <c r="F9" s="8"/>
      <c r="G9" s="8"/>
      <c r="H9" s="7" t="s">
        <v>26</v>
      </c>
      <c r="I9" s="8"/>
      <c r="J9" s="7" t="s">
        <v>26</v>
      </c>
      <c r="K9" s="8"/>
      <c r="L9" s="7" t="s">
        <v>26</v>
      </c>
      <c r="N9" s="8"/>
      <c r="O9" s="5" t="s">
        <v>26</v>
      </c>
      <c r="P9" s="8"/>
      <c r="R9" s="7" t="s">
        <v>26</v>
      </c>
      <c r="S9" s="7" t="s">
        <v>26</v>
      </c>
      <c r="T9" s="7" t="s">
        <v>26</v>
      </c>
    </row>
    <row r="10">
      <c r="B10" s="11">
        <v>0.0</v>
      </c>
      <c r="C10" s="10"/>
      <c r="D10" s="9" t="s">
        <v>24</v>
      </c>
      <c r="E10" s="9" t="s">
        <v>25</v>
      </c>
      <c r="F10" s="10"/>
      <c r="G10" s="10"/>
      <c r="H10" s="12" t="s">
        <v>26</v>
      </c>
      <c r="I10" s="10"/>
      <c r="J10" s="12" t="s">
        <v>26</v>
      </c>
      <c r="K10" s="10"/>
      <c r="L10" s="12" t="s">
        <v>26</v>
      </c>
      <c r="N10" s="10"/>
      <c r="O10" s="9" t="s">
        <v>26</v>
      </c>
      <c r="P10" s="10"/>
      <c r="R10" s="12" t="s">
        <v>26</v>
      </c>
      <c r="S10" s="12" t="s">
        <v>26</v>
      </c>
      <c r="T10" s="12" t="s">
        <v>26</v>
      </c>
    </row>
    <row r="11">
      <c r="B11" s="6">
        <v>0.0</v>
      </c>
      <c r="C11" s="8"/>
      <c r="D11" s="5" t="s">
        <v>24</v>
      </c>
      <c r="E11" s="5" t="s">
        <v>25</v>
      </c>
      <c r="F11" s="8"/>
      <c r="G11" s="8"/>
      <c r="H11" s="7" t="s">
        <v>26</v>
      </c>
      <c r="I11" s="8"/>
      <c r="J11" s="7" t="s">
        <v>26</v>
      </c>
      <c r="K11" s="8"/>
      <c r="L11" s="7" t="s">
        <v>26</v>
      </c>
      <c r="N11" s="8"/>
      <c r="O11" s="5" t="s">
        <v>26</v>
      </c>
      <c r="P11" s="8"/>
      <c r="R11" s="7" t="s">
        <v>26</v>
      </c>
      <c r="S11" s="7" t="s">
        <v>26</v>
      </c>
      <c r="T11" s="7" t="s">
        <v>26</v>
      </c>
    </row>
    <row r="12">
      <c r="B12" s="11">
        <v>0.0</v>
      </c>
      <c r="C12" s="10"/>
      <c r="D12" s="9" t="s">
        <v>24</v>
      </c>
      <c r="E12" s="9" t="s">
        <v>25</v>
      </c>
      <c r="F12" s="10"/>
      <c r="G12" s="10"/>
      <c r="H12" s="12" t="s">
        <v>26</v>
      </c>
      <c r="I12" s="10"/>
      <c r="J12" s="12" t="s">
        <v>26</v>
      </c>
      <c r="K12" s="10"/>
      <c r="L12" s="12" t="s">
        <v>26</v>
      </c>
      <c r="N12" s="10"/>
      <c r="O12" s="9" t="s">
        <v>26</v>
      </c>
      <c r="P12" s="10"/>
      <c r="R12" s="12" t="s">
        <v>26</v>
      </c>
      <c r="S12" s="12" t="s">
        <v>26</v>
      </c>
      <c r="T12" s="12" t="s">
        <v>26</v>
      </c>
    </row>
    <row r="13">
      <c r="B13" s="6">
        <v>0.0</v>
      </c>
      <c r="C13" s="8"/>
      <c r="D13" s="5" t="s">
        <v>24</v>
      </c>
      <c r="E13" s="5" t="s">
        <v>25</v>
      </c>
      <c r="F13" s="8"/>
      <c r="G13" s="8"/>
      <c r="H13" s="7" t="s">
        <v>26</v>
      </c>
      <c r="I13" s="8"/>
      <c r="J13" s="7" t="s">
        <v>26</v>
      </c>
      <c r="K13" s="8"/>
      <c r="L13" s="7" t="s">
        <v>26</v>
      </c>
      <c r="N13" s="8"/>
      <c r="O13" s="5" t="s">
        <v>26</v>
      </c>
      <c r="P13" s="8"/>
      <c r="R13" s="7" t="s">
        <v>26</v>
      </c>
      <c r="S13" s="7" t="s">
        <v>26</v>
      </c>
      <c r="T13" s="7" t="s">
        <v>26</v>
      </c>
    </row>
    <row r="14">
      <c r="B14" s="11">
        <v>0.0</v>
      </c>
      <c r="C14" s="10"/>
      <c r="D14" s="9" t="s">
        <v>24</v>
      </c>
      <c r="E14" s="9" t="s">
        <v>25</v>
      </c>
      <c r="F14" s="10"/>
      <c r="G14" s="10"/>
      <c r="H14" s="12" t="s">
        <v>26</v>
      </c>
      <c r="I14" s="10"/>
      <c r="J14" s="12" t="s">
        <v>26</v>
      </c>
      <c r="K14" s="10"/>
      <c r="L14" s="12" t="s">
        <v>26</v>
      </c>
      <c r="N14" s="10"/>
      <c r="O14" s="9" t="s">
        <v>26</v>
      </c>
      <c r="P14" s="10"/>
      <c r="R14" s="12" t="s">
        <v>26</v>
      </c>
      <c r="S14" s="12" t="s">
        <v>26</v>
      </c>
      <c r="T14" s="12" t="s">
        <v>26</v>
      </c>
    </row>
    <row r="15">
      <c r="B15" s="6">
        <v>0.0</v>
      </c>
      <c r="C15" s="8"/>
      <c r="D15" s="5" t="s">
        <v>24</v>
      </c>
      <c r="E15" s="5" t="s">
        <v>25</v>
      </c>
      <c r="F15" s="8"/>
      <c r="G15" s="8"/>
      <c r="H15" s="7" t="s">
        <v>26</v>
      </c>
      <c r="I15" s="8"/>
      <c r="J15" s="7" t="s">
        <v>26</v>
      </c>
      <c r="K15" s="8"/>
      <c r="L15" s="7" t="s">
        <v>26</v>
      </c>
      <c r="N15" s="8"/>
      <c r="O15" s="5" t="s">
        <v>26</v>
      </c>
      <c r="P15" s="8"/>
      <c r="R15" s="7" t="s">
        <v>26</v>
      </c>
      <c r="S15" s="7" t="s">
        <v>26</v>
      </c>
      <c r="T15" s="7" t="s">
        <v>26</v>
      </c>
    </row>
    <row r="16">
      <c r="B16" s="11">
        <v>0.0</v>
      </c>
      <c r="C16" s="10"/>
      <c r="D16" s="9" t="s">
        <v>24</v>
      </c>
      <c r="E16" s="9" t="s">
        <v>25</v>
      </c>
      <c r="F16" s="10"/>
      <c r="G16" s="10"/>
      <c r="H16" s="12" t="s">
        <v>26</v>
      </c>
      <c r="I16" s="10"/>
      <c r="J16" s="12" t="s">
        <v>26</v>
      </c>
      <c r="K16" s="10"/>
      <c r="L16" s="12" t="s">
        <v>26</v>
      </c>
      <c r="N16" s="10"/>
      <c r="O16" s="9" t="s">
        <v>26</v>
      </c>
      <c r="P16" s="10"/>
      <c r="R16" s="12" t="s">
        <v>26</v>
      </c>
      <c r="S16" s="12" t="s">
        <v>26</v>
      </c>
      <c r="T16" s="12" t="s">
        <v>26</v>
      </c>
    </row>
    <row r="17">
      <c r="B17" s="6">
        <v>0.0</v>
      </c>
      <c r="C17" s="8"/>
      <c r="D17" s="5" t="s">
        <v>24</v>
      </c>
      <c r="E17" s="5" t="s">
        <v>25</v>
      </c>
      <c r="F17" s="8"/>
      <c r="G17" s="8"/>
      <c r="H17" s="7" t="s">
        <v>26</v>
      </c>
      <c r="I17" s="8"/>
      <c r="J17" s="7" t="s">
        <v>26</v>
      </c>
      <c r="K17" s="8"/>
      <c r="L17" s="7" t="s">
        <v>26</v>
      </c>
      <c r="N17" s="8"/>
      <c r="O17" s="5" t="s">
        <v>26</v>
      </c>
      <c r="P17" s="8"/>
      <c r="R17" s="7" t="s">
        <v>26</v>
      </c>
      <c r="S17" s="7" t="s">
        <v>26</v>
      </c>
      <c r="T17" s="7" t="s">
        <v>26</v>
      </c>
    </row>
    <row r="18">
      <c r="B18" s="11">
        <v>0.0</v>
      </c>
      <c r="C18" s="10"/>
      <c r="D18" s="9" t="s">
        <v>24</v>
      </c>
      <c r="E18" s="9" t="s">
        <v>25</v>
      </c>
      <c r="F18" s="10"/>
      <c r="G18" s="10"/>
      <c r="H18" s="12" t="s">
        <v>26</v>
      </c>
      <c r="I18" s="10"/>
      <c r="J18" s="12" t="s">
        <v>26</v>
      </c>
      <c r="K18" s="10"/>
      <c r="L18" s="12" t="s">
        <v>26</v>
      </c>
      <c r="N18" s="10"/>
      <c r="O18" s="9" t="s">
        <v>26</v>
      </c>
      <c r="P18" s="10"/>
      <c r="R18" s="12" t="s">
        <v>26</v>
      </c>
      <c r="S18" s="12" t="s">
        <v>26</v>
      </c>
      <c r="T18" s="12" t="s">
        <v>26</v>
      </c>
    </row>
    <row r="19">
      <c r="B19" s="6">
        <v>0.0</v>
      </c>
      <c r="C19" s="8"/>
      <c r="D19" s="5" t="s">
        <v>24</v>
      </c>
      <c r="E19" s="5" t="s">
        <v>25</v>
      </c>
      <c r="F19" s="8"/>
      <c r="G19" s="8"/>
      <c r="H19" s="7" t="s">
        <v>26</v>
      </c>
      <c r="I19" s="8"/>
      <c r="J19" s="7" t="s">
        <v>26</v>
      </c>
      <c r="K19" s="8"/>
      <c r="L19" s="7" t="s">
        <v>26</v>
      </c>
      <c r="N19" s="8"/>
      <c r="O19" s="5" t="s">
        <v>26</v>
      </c>
      <c r="P19" s="8"/>
      <c r="R19" s="7" t="s">
        <v>26</v>
      </c>
      <c r="S19" s="7" t="s">
        <v>26</v>
      </c>
      <c r="T19" s="7" t="s">
        <v>26</v>
      </c>
    </row>
    <row r="20">
      <c r="B20" s="11">
        <v>0.0</v>
      </c>
      <c r="C20" s="10"/>
      <c r="D20" s="9" t="s">
        <v>24</v>
      </c>
      <c r="E20" s="9" t="s">
        <v>25</v>
      </c>
      <c r="F20" s="10"/>
      <c r="G20" s="10"/>
      <c r="H20" s="12" t="s">
        <v>26</v>
      </c>
      <c r="I20" s="10"/>
      <c r="J20" s="12" t="s">
        <v>26</v>
      </c>
      <c r="K20" s="10"/>
      <c r="L20" s="12" t="s">
        <v>26</v>
      </c>
      <c r="N20" s="10"/>
      <c r="O20" s="9" t="s">
        <v>26</v>
      </c>
      <c r="P20" s="10"/>
      <c r="R20" s="12" t="s">
        <v>26</v>
      </c>
      <c r="S20" s="12" t="s">
        <v>26</v>
      </c>
      <c r="T20" s="12" t="s">
        <v>26</v>
      </c>
    </row>
    <row r="21">
      <c r="B21" s="6">
        <v>0.0</v>
      </c>
      <c r="C21" s="8"/>
      <c r="D21" s="5" t="s">
        <v>24</v>
      </c>
      <c r="E21" s="5" t="s">
        <v>25</v>
      </c>
      <c r="F21" s="8"/>
      <c r="G21" s="8"/>
      <c r="H21" s="7" t="s">
        <v>26</v>
      </c>
      <c r="I21" s="8"/>
      <c r="J21" s="7" t="s">
        <v>26</v>
      </c>
      <c r="K21" s="8"/>
      <c r="L21" s="7" t="s">
        <v>26</v>
      </c>
      <c r="N21" s="8"/>
      <c r="O21" s="5" t="s">
        <v>26</v>
      </c>
      <c r="P21" s="8"/>
      <c r="R21" s="7" t="s">
        <v>26</v>
      </c>
      <c r="S21" s="7" t="s">
        <v>26</v>
      </c>
      <c r="T21" s="7" t="s">
        <v>26</v>
      </c>
    </row>
    <row r="22">
      <c r="B22" s="2" t="s">
        <v>42</v>
      </c>
      <c r="K22" s="1"/>
      <c r="L22" s="2" t="s">
        <v>43</v>
      </c>
      <c r="T22" s="2"/>
      <c r="U22" s="34" t="s">
        <v>44</v>
      </c>
    </row>
    <row r="23">
      <c r="B23" s="3" t="s">
        <v>2</v>
      </c>
      <c r="C23" s="3" t="s">
        <v>3</v>
      </c>
      <c r="D23" s="3" t="s">
        <v>4</v>
      </c>
      <c r="E23" s="3" t="s">
        <v>6</v>
      </c>
      <c r="F23" s="4" t="s">
        <v>45</v>
      </c>
      <c r="G23" s="4" t="s">
        <v>9</v>
      </c>
      <c r="H23" s="3" t="s">
        <v>19</v>
      </c>
      <c r="I23" s="3" t="s">
        <v>14</v>
      </c>
      <c r="J23" s="4" t="s">
        <v>7</v>
      </c>
      <c r="L23" s="4" t="s">
        <v>2</v>
      </c>
      <c r="M23" s="4" t="s">
        <v>3</v>
      </c>
      <c r="O23" s="4" t="s">
        <v>4</v>
      </c>
      <c r="P23" s="4" t="s">
        <v>9</v>
      </c>
      <c r="Q23" s="4" t="s">
        <v>14</v>
      </c>
      <c r="R23" s="4" t="s">
        <v>7</v>
      </c>
    </row>
    <row r="24">
      <c r="B24" s="6">
        <v>0.0</v>
      </c>
      <c r="C24" s="5"/>
      <c r="D24" s="5" t="s">
        <v>24</v>
      </c>
      <c r="E24" s="5" t="s">
        <v>25</v>
      </c>
      <c r="F24" s="5"/>
      <c r="G24" s="5"/>
      <c r="H24" s="5" t="s">
        <v>26</v>
      </c>
      <c r="I24" s="5"/>
      <c r="J24" s="5"/>
      <c r="L24" s="5">
        <v>0.0</v>
      </c>
      <c r="M24" s="5"/>
      <c r="O24" s="5" t="s">
        <v>24</v>
      </c>
      <c r="P24" s="5"/>
      <c r="Q24" s="5"/>
      <c r="R24" s="5"/>
      <c r="U24" s="35" t="s">
        <v>3</v>
      </c>
    </row>
    <row r="25">
      <c r="B25" s="11">
        <v>0.0</v>
      </c>
      <c r="C25" s="10"/>
      <c r="D25" s="9" t="s">
        <v>24</v>
      </c>
      <c r="E25" s="9" t="s">
        <v>25</v>
      </c>
      <c r="F25" s="10"/>
      <c r="G25" s="10"/>
      <c r="H25" s="9" t="s">
        <v>26</v>
      </c>
      <c r="I25" s="10"/>
      <c r="J25" s="10"/>
      <c r="L25" s="11">
        <v>0.0</v>
      </c>
      <c r="M25" s="10"/>
      <c r="O25" s="9" t="s">
        <v>24</v>
      </c>
      <c r="P25" s="10"/>
      <c r="Q25" s="10"/>
      <c r="R25" s="9"/>
      <c r="U25" s="10"/>
    </row>
    <row r="26">
      <c r="B26" s="6">
        <v>0.0</v>
      </c>
      <c r="C26" s="8"/>
      <c r="D26" s="5" t="s">
        <v>24</v>
      </c>
      <c r="E26" s="5" t="s">
        <v>25</v>
      </c>
      <c r="F26" s="8"/>
      <c r="G26" s="8"/>
      <c r="H26" s="5" t="s">
        <v>26</v>
      </c>
      <c r="I26" s="8"/>
      <c r="J26" s="8"/>
      <c r="L26" s="6">
        <v>0.0</v>
      </c>
      <c r="M26" s="8"/>
      <c r="O26" s="5" t="s">
        <v>24</v>
      </c>
      <c r="P26" s="8"/>
      <c r="Q26" s="8"/>
      <c r="R26" s="5"/>
      <c r="U26" s="35" t="s">
        <v>8</v>
      </c>
    </row>
    <row r="27">
      <c r="B27" s="11">
        <v>0.0</v>
      </c>
      <c r="C27" s="10"/>
      <c r="D27" s="9" t="s">
        <v>24</v>
      </c>
      <c r="E27" s="9" t="s">
        <v>25</v>
      </c>
      <c r="F27" s="10"/>
      <c r="G27" s="10"/>
      <c r="H27" s="9" t="s">
        <v>26</v>
      </c>
      <c r="I27" s="10"/>
      <c r="J27" s="10"/>
      <c r="L27" s="11">
        <v>0.0</v>
      </c>
      <c r="M27" s="10"/>
      <c r="O27" s="9" t="s">
        <v>24</v>
      </c>
      <c r="P27" s="10"/>
      <c r="Q27" s="10"/>
      <c r="R27" s="9"/>
      <c r="U27" s="10"/>
    </row>
    <row r="28">
      <c r="B28" s="6">
        <v>0.0</v>
      </c>
      <c r="C28" s="8"/>
      <c r="D28" s="5" t="s">
        <v>24</v>
      </c>
      <c r="E28" s="5" t="s">
        <v>25</v>
      </c>
      <c r="F28" s="8"/>
      <c r="G28" s="8"/>
      <c r="H28" s="5" t="s">
        <v>26</v>
      </c>
      <c r="I28" s="8"/>
      <c r="J28" s="8"/>
      <c r="L28" s="6">
        <v>0.0</v>
      </c>
      <c r="M28" s="8"/>
      <c r="O28" s="5" t="s">
        <v>24</v>
      </c>
      <c r="P28" s="8"/>
      <c r="Q28" s="8"/>
      <c r="R28" s="5"/>
    </row>
    <row r="29">
      <c r="B29" s="11">
        <v>0.0</v>
      </c>
      <c r="C29" s="10"/>
      <c r="D29" s="9" t="s">
        <v>24</v>
      </c>
      <c r="E29" s="9" t="s">
        <v>25</v>
      </c>
      <c r="F29" s="10"/>
      <c r="G29" s="10"/>
      <c r="H29" s="9" t="s">
        <v>26</v>
      </c>
      <c r="I29" s="10"/>
      <c r="J29" s="10"/>
      <c r="L29" s="11">
        <v>0.0</v>
      </c>
      <c r="M29" s="10"/>
      <c r="O29" s="9" t="s">
        <v>24</v>
      </c>
      <c r="P29" s="10"/>
      <c r="Q29" s="10"/>
      <c r="R29" s="9"/>
      <c r="U29" s="35" t="s">
        <v>46</v>
      </c>
    </row>
    <row r="30">
      <c r="B30" s="6">
        <v>0.0</v>
      </c>
      <c r="C30" s="8"/>
      <c r="D30" s="5" t="s">
        <v>24</v>
      </c>
      <c r="E30" s="5" t="s">
        <v>25</v>
      </c>
      <c r="F30" s="8"/>
      <c r="G30" s="8"/>
      <c r="H30" s="5" t="s">
        <v>26</v>
      </c>
      <c r="I30" s="8"/>
      <c r="J30" s="8"/>
      <c r="L30" s="6">
        <v>0.0</v>
      </c>
      <c r="M30" s="8"/>
      <c r="O30" s="5" t="s">
        <v>24</v>
      </c>
      <c r="P30" s="8"/>
      <c r="Q30" s="8"/>
      <c r="R30" s="5"/>
      <c r="U30" s="9"/>
    </row>
    <row r="31">
      <c r="B31" s="11">
        <v>0.0</v>
      </c>
      <c r="C31" s="10"/>
      <c r="D31" s="9" t="s">
        <v>24</v>
      </c>
      <c r="E31" s="9" t="s">
        <v>25</v>
      </c>
      <c r="F31" s="10"/>
      <c r="G31" s="10"/>
      <c r="H31" s="9" t="s">
        <v>26</v>
      </c>
      <c r="I31" s="10"/>
      <c r="J31" s="10"/>
      <c r="L31" s="11">
        <v>0.0</v>
      </c>
      <c r="M31" s="10"/>
      <c r="O31" s="9" t="s">
        <v>24</v>
      </c>
      <c r="P31" s="10"/>
      <c r="Q31" s="10"/>
      <c r="R31" s="9"/>
    </row>
    <row r="32">
      <c r="B32" s="6">
        <v>0.0</v>
      </c>
      <c r="C32" s="8"/>
      <c r="D32" s="5" t="s">
        <v>24</v>
      </c>
      <c r="E32" s="5" t="s">
        <v>25</v>
      </c>
      <c r="F32" s="8"/>
      <c r="G32" s="8"/>
      <c r="H32" s="5" t="s">
        <v>26</v>
      </c>
      <c r="I32" s="8"/>
      <c r="J32" s="8"/>
      <c r="L32" s="6">
        <v>0.0</v>
      </c>
      <c r="M32" s="8"/>
      <c r="O32" s="5" t="s">
        <v>24</v>
      </c>
      <c r="P32" s="8"/>
      <c r="Q32" s="8"/>
      <c r="R32" s="5"/>
      <c r="U32" s="35" t="s">
        <v>47</v>
      </c>
    </row>
    <row r="33">
      <c r="B33" s="11">
        <v>0.0</v>
      </c>
      <c r="C33" s="10"/>
      <c r="D33" s="9" t="s">
        <v>24</v>
      </c>
      <c r="E33" s="9" t="s">
        <v>25</v>
      </c>
      <c r="F33" s="10"/>
      <c r="G33" s="10"/>
      <c r="H33" s="9" t="s">
        <v>26</v>
      </c>
      <c r="I33" s="10"/>
      <c r="J33" s="10"/>
      <c r="L33" s="11">
        <v>0.0</v>
      </c>
      <c r="M33" s="10"/>
      <c r="O33" s="9" t="s">
        <v>24</v>
      </c>
      <c r="P33" s="10"/>
      <c r="Q33" s="10"/>
      <c r="R33" s="9"/>
      <c r="U33" s="10"/>
    </row>
    <row r="34">
      <c r="B34" s="6">
        <v>0.0</v>
      </c>
      <c r="C34" s="8"/>
      <c r="D34" s="5" t="s">
        <v>24</v>
      </c>
      <c r="E34" s="5" t="s">
        <v>25</v>
      </c>
      <c r="F34" s="8"/>
      <c r="G34" s="8"/>
      <c r="H34" s="5" t="s">
        <v>26</v>
      </c>
      <c r="I34" s="8"/>
      <c r="J34" s="8"/>
      <c r="L34" s="6">
        <v>0.0</v>
      </c>
      <c r="M34" s="8"/>
      <c r="O34" s="5" t="s">
        <v>24</v>
      </c>
      <c r="P34" s="8"/>
      <c r="Q34" s="8"/>
      <c r="R34" s="5"/>
    </row>
    <row r="35">
      <c r="B35" s="11">
        <v>0.0</v>
      </c>
      <c r="C35" s="10"/>
      <c r="D35" s="9" t="s">
        <v>24</v>
      </c>
      <c r="E35" s="9" t="s">
        <v>25</v>
      </c>
      <c r="F35" s="10"/>
      <c r="G35" s="10"/>
      <c r="H35" s="9" t="s">
        <v>26</v>
      </c>
      <c r="I35" s="10"/>
      <c r="J35" s="10"/>
      <c r="L35" s="11">
        <v>0.0</v>
      </c>
      <c r="M35" s="10"/>
      <c r="O35" s="9" t="s">
        <v>24</v>
      </c>
      <c r="P35" s="10"/>
      <c r="Q35" s="10"/>
      <c r="R35" s="9"/>
      <c r="U35" s="35" t="s">
        <v>10</v>
      </c>
    </row>
    <row r="36">
      <c r="B36" s="6">
        <v>0.0</v>
      </c>
      <c r="C36" s="8"/>
      <c r="D36" s="5" t="s">
        <v>24</v>
      </c>
      <c r="E36" s="5" t="s">
        <v>25</v>
      </c>
      <c r="F36" s="8"/>
      <c r="G36" s="8"/>
      <c r="H36" s="5" t="s">
        <v>26</v>
      </c>
      <c r="I36" s="8"/>
      <c r="J36" s="8"/>
      <c r="L36" s="6">
        <v>0.0</v>
      </c>
      <c r="M36" s="8"/>
      <c r="O36" s="5" t="s">
        <v>24</v>
      </c>
      <c r="P36" s="8"/>
      <c r="Q36" s="8"/>
      <c r="R36" s="5"/>
      <c r="U36" s="10"/>
    </row>
    <row r="37">
      <c r="B37" s="11">
        <v>0.0</v>
      </c>
      <c r="C37" s="10"/>
      <c r="D37" s="9" t="s">
        <v>24</v>
      </c>
      <c r="E37" s="9" t="s">
        <v>25</v>
      </c>
      <c r="F37" s="10"/>
      <c r="G37" s="10"/>
      <c r="H37" s="9" t="s">
        <v>26</v>
      </c>
      <c r="I37" s="10"/>
      <c r="J37" s="10"/>
      <c r="L37" s="11">
        <v>0.0</v>
      </c>
      <c r="M37" s="10"/>
      <c r="O37" s="9" t="s">
        <v>24</v>
      </c>
      <c r="P37" s="10"/>
      <c r="Q37" s="10"/>
      <c r="R37" s="9"/>
    </row>
    <row r="38">
      <c r="B38" s="2" t="s">
        <v>50</v>
      </c>
      <c r="L38" s="2" t="s">
        <v>51</v>
      </c>
    </row>
    <row r="39">
      <c r="B39" s="4" t="s">
        <v>2</v>
      </c>
      <c r="C39" s="4" t="s">
        <v>3</v>
      </c>
      <c r="D39" s="4" t="s">
        <v>4</v>
      </c>
      <c r="E39" s="4" t="s">
        <v>6</v>
      </c>
      <c r="F39" s="4" t="s">
        <v>11</v>
      </c>
      <c r="G39" s="4" t="s">
        <v>9</v>
      </c>
      <c r="H39" s="4" t="s">
        <v>55</v>
      </c>
      <c r="I39" s="4" t="s">
        <v>14</v>
      </c>
      <c r="J39" s="4" t="s">
        <v>19</v>
      </c>
      <c r="L39" s="4" t="s">
        <v>2</v>
      </c>
      <c r="M39" s="4" t="s">
        <v>3</v>
      </c>
      <c r="O39" s="4" t="s">
        <v>4</v>
      </c>
      <c r="P39" s="4" t="s">
        <v>9</v>
      </c>
      <c r="Q39" s="4" t="s">
        <v>14</v>
      </c>
      <c r="R39" s="4" t="s">
        <v>20</v>
      </c>
    </row>
    <row r="40">
      <c r="B40" s="6">
        <v>0.0</v>
      </c>
      <c r="C40" s="5"/>
      <c r="D40" s="5" t="s">
        <v>24</v>
      </c>
      <c r="E40" s="5" t="s">
        <v>25</v>
      </c>
      <c r="F40" s="5"/>
      <c r="G40" s="5"/>
      <c r="H40" s="5"/>
      <c r="I40" s="5"/>
      <c r="J40" s="5" t="s">
        <v>26</v>
      </c>
      <c r="L40" s="5">
        <v>0.0</v>
      </c>
      <c r="M40" s="8"/>
      <c r="O40" s="5" t="s">
        <v>24</v>
      </c>
      <c r="P40" s="8"/>
      <c r="Q40" s="5"/>
      <c r="R40" s="5"/>
    </row>
    <row r="41">
      <c r="B41" s="11">
        <v>0.0</v>
      </c>
      <c r="C41" s="10"/>
      <c r="D41" s="9" t="s">
        <v>24</v>
      </c>
      <c r="E41" s="9" t="s">
        <v>25</v>
      </c>
      <c r="F41" s="10"/>
      <c r="G41" s="10"/>
      <c r="H41" s="10"/>
      <c r="I41" s="10"/>
      <c r="J41" s="9" t="s">
        <v>26</v>
      </c>
      <c r="L41" s="11">
        <v>0.0</v>
      </c>
      <c r="M41" s="10"/>
      <c r="O41" s="9" t="s">
        <v>24</v>
      </c>
      <c r="P41" s="10"/>
      <c r="Q41" s="10"/>
      <c r="R41" s="9"/>
    </row>
    <row r="42">
      <c r="B42" s="6">
        <v>0.0</v>
      </c>
      <c r="C42" s="8"/>
      <c r="D42" s="5" t="s">
        <v>24</v>
      </c>
      <c r="E42" s="5" t="s">
        <v>25</v>
      </c>
      <c r="F42" s="8"/>
      <c r="G42" s="8"/>
      <c r="H42" s="8"/>
      <c r="I42" s="8"/>
      <c r="J42" s="5" t="s">
        <v>26</v>
      </c>
      <c r="L42" s="6">
        <v>0.0</v>
      </c>
      <c r="M42" s="8"/>
      <c r="O42" s="5" t="s">
        <v>24</v>
      </c>
      <c r="P42" s="8"/>
      <c r="Q42" s="8"/>
      <c r="R42" s="5"/>
    </row>
    <row r="43">
      <c r="B43" s="11">
        <v>0.0</v>
      </c>
      <c r="C43" s="10"/>
      <c r="D43" s="9" t="s">
        <v>24</v>
      </c>
      <c r="E43" s="9" t="s">
        <v>25</v>
      </c>
      <c r="F43" s="10"/>
      <c r="G43" s="10"/>
      <c r="H43" s="10"/>
      <c r="I43" s="10"/>
      <c r="J43" s="9" t="s">
        <v>26</v>
      </c>
      <c r="L43" s="11">
        <v>0.0</v>
      </c>
      <c r="M43" s="10"/>
      <c r="O43" s="9" t="s">
        <v>24</v>
      </c>
      <c r="P43" s="10"/>
      <c r="Q43" s="10"/>
      <c r="R43" s="9"/>
    </row>
    <row r="44">
      <c r="B44" s="6">
        <v>0.0</v>
      </c>
      <c r="C44" s="8"/>
      <c r="D44" s="5" t="s">
        <v>24</v>
      </c>
      <c r="E44" s="5" t="s">
        <v>25</v>
      </c>
      <c r="F44" s="8"/>
      <c r="G44" s="8"/>
      <c r="H44" s="8"/>
      <c r="I44" s="8"/>
      <c r="J44" s="5" t="s">
        <v>26</v>
      </c>
      <c r="L44" s="6">
        <v>0.0</v>
      </c>
      <c r="M44" s="8"/>
      <c r="O44" s="5" t="s">
        <v>24</v>
      </c>
      <c r="P44" s="8"/>
      <c r="Q44" s="8"/>
      <c r="R44" s="5"/>
    </row>
    <row r="45">
      <c r="B45" s="11">
        <v>0.0</v>
      </c>
      <c r="C45" s="10"/>
      <c r="D45" s="9" t="s">
        <v>24</v>
      </c>
      <c r="E45" s="9" t="s">
        <v>25</v>
      </c>
      <c r="F45" s="10"/>
      <c r="G45" s="10"/>
      <c r="H45" s="10"/>
      <c r="I45" s="10"/>
      <c r="J45" s="9" t="s">
        <v>26</v>
      </c>
      <c r="L45" s="11">
        <v>0.0</v>
      </c>
      <c r="M45" s="10"/>
      <c r="O45" s="9" t="s">
        <v>24</v>
      </c>
      <c r="P45" s="10"/>
      <c r="Q45" s="10"/>
      <c r="R45" s="9"/>
    </row>
    <row r="46">
      <c r="B46" s="6">
        <v>0.0</v>
      </c>
      <c r="C46" s="8"/>
      <c r="D46" s="5" t="s">
        <v>24</v>
      </c>
      <c r="E46" s="5" t="s">
        <v>25</v>
      </c>
      <c r="F46" s="8"/>
      <c r="G46" s="8"/>
      <c r="H46" s="8"/>
      <c r="I46" s="8"/>
      <c r="J46" s="5" t="s">
        <v>26</v>
      </c>
      <c r="L46" s="6">
        <v>0.0</v>
      </c>
      <c r="M46" s="8"/>
      <c r="O46" s="5" t="s">
        <v>24</v>
      </c>
      <c r="P46" s="8"/>
      <c r="Q46" s="8"/>
      <c r="R46" s="5"/>
    </row>
    <row r="47">
      <c r="B47" s="11">
        <v>0.0</v>
      </c>
      <c r="C47" s="10"/>
      <c r="D47" s="9" t="s">
        <v>24</v>
      </c>
      <c r="E47" s="9" t="s">
        <v>25</v>
      </c>
      <c r="F47" s="10"/>
      <c r="G47" s="10"/>
      <c r="H47" s="10"/>
      <c r="I47" s="10"/>
      <c r="J47" s="9" t="s">
        <v>26</v>
      </c>
      <c r="L47" s="11">
        <v>0.0</v>
      </c>
      <c r="M47" s="10"/>
      <c r="O47" s="9" t="s">
        <v>24</v>
      </c>
      <c r="P47" s="10"/>
      <c r="Q47" s="10"/>
      <c r="R47" s="9"/>
    </row>
    <row r="48">
      <c r="B48" s="6">
        <v>0.0</v>
      </c>
      <c r="C48" s="8"/>
      <c r="D48" s="5" t="s">
        <v>24</v>
      </c>
      <c r="E48" s="5" t="s">
        <v>25</v>
      </c>
      <c r="F48" s="8"/>
      <c r="G48" s="8"/>
      <c r="H48" s="8"/>
      <c r="I48" s="8"/>
      <c r="J48" s="5" t="s">
        <v>26</v>
      </c>
      <c r="L48" s="6">
        <v>0.0</v>
      </c>
      <c r="M48" s="8"/>
      <c r="O48" s="5" t="s">
        <v>24</v>
      </c>
      <c r="P48" s="8"/>
      <c r="Q48" s="8"/>
      <c r="R48" s="5"/>
    </row>
    <row r="49">
      <c r="B49" s="11">
        <v>0.0</v>
      </c>
      <c r="C49" s="10"/>
      <c r="D49" s="9" t="s">
        <v>24</v>
      </c>
      <c r="E49" s="9" t="s">
        <v>25</v>
      </c>
      <c r="F49" s="10"/>
      <c r="G49" s="10"/>
      <c r="H49" s="10"/>
      <c r="I49" s="10"/>
      <c r="J49" s="9" t="s">
        <v>26</v>
      </c>
      <c r="L49" s="11">
        <v>0.0</v>
      </c>
      <c r="M49" s="10"/>
      <c r="O49" s="9" t="s">
        <v>24</v>
      </c>
      <c r="P49" s="10"/>
      <c r="Q49" s="10"/>
      <c r="R49" s="9"/>
    </row>
    <row r="50">
      <c r="B50" s="6">
        <v>0.0</v>
      </c>
      <c r="C50" s="8"/>
      <c r="D50" s="5" t="s">
        <v>24</v>
      </c>
      <c r="E50" s="5" t="s">
        <v>25</v>
      </c>
      <c r="F50" s="8"/>
      <c r="G50" s="8"/>
      <c r="H50" s="8"/>
      <c r="I50" s="8"/>
      <c r="J50" s="5" t="s">
        <v>26</v>
      </c>
      <c r="L50" s="6">
        <v>0.0</v>
      </c>
      <c r="M50" s="8"/>
      <c r="O50" s="5" t="s">
        <v>24</v>
      </c>
      <c r="P50" s="8"/>
      <c r="Q50" s="8"/>
      <c r="R50" s="5"/>
    </row>
    <row r="51">
      <c r="B51" s="11">
        <v>0.0</v>
      </c>
      <c r="C51" s="10"/>
      <c r="D51" s="9" t="s">
        <v>24</v>
      </c>
      <c r="E51" s="9" t="s">
        <v>25</v>
      </c>
      <c r="F51" s="10"/>
      <c r="G51" s="10"/>
      <c r="H51" s="10"/>
      <c r="I51" s="10"/>
      <c r="J51" s="9" t="s">
        <v>26</v>
      </c>
      <c r="L51" s="11">
        <v>0.0</v>
      </c>
      <c r="M51" s="10"/>
      <c r="O51" s="9" t="s">
        <v>24</v>
      </c>
      <c r="P51" s="10"/>
      <c r="Q51" s="10"/>
      <c r="R51" s="9"/>
    </row>
    <row r="52">
      <c r="B52" s="6">
        <v>0.0</v>
      </c>
      <c r="C52" s="8"/>
      <c r="D52" s="5" t="s">
        <v>24</v>
      </c>
      <c r="E52" s="5" t="s">
        <v>25</v>
      </c>
      <c r="F52" s="8"/>
      <c r="G52" s="8"/>
      <c r="H52" s="8"/>
      <c r="I52" s="8"/>
      <c r="J52" s="5" t="s">
        <v>26</v>
      </c>
      <c r="L52" s="6">
        <v>0.0</v>
      </c>
      <c r="M52" s="8"/>
      <c r="O52" s="5" t="s">
        <v>24</v>
      </c>
      <c r="P52" s="8"/>
      <c r="Q52" s="8"/>
      <c r="R52" s="5"/>
    </row>
    <row r="53">
      <c r="B53" s="11">
        <v>0.0</v>
      </c>
      <c r="C53" s="10"/>
      <c r="D53" s="9" t="s">
        <v>24</v>
      </c>
      <c r="E53" s="9" t="s">
        <v>25</v>
      </c>
      <c r="F53" s="10"/>
      <c r="G53" s="10"/>
      <c r="H53" s="10"/>
      <c r="I53" s="10"/>
      <c r="J53" s="9" t="s">
        <v>26</v>
      </c>
      <c r="L53" s="11">
        <v>0.0</v>
      </c>
      <c r="M53" s="10"/>
      <c r="O53" s="9" t="s">
        <v>24</v>
      </c>
      <c r="P53" s="10"/>
      <c r="Q53" s="10"/>
      <c r="R53" s="9"/>
    </row>
    <row r="54">
      <c r="B54" s="2"/>
      <c r="L54" s="50"/>
    </row>
  </sheetData>
  <mergeCells count="136">
    <mergeCell ref="T2:U2"/>
    <mergeCell ref="P2:Q2"/>
    <mergeCell ref="T6:U6"/>
    <mergeCell ref="T7:U7"/>
    <mergeCell ref="P5:Q5"/>
    <mergeCell ref="P6:Q6"/>
    <mergeCell ref="L7:M7"/>
    <mergeCell ref="L6:M6"/>
    <mergeCell ref="L3:M3"/>
    <mergeCell ref="L2:M2"/>
    <mergeCell ref="B1:U1"/>
    <mergeCell ref="U30:U31"/>
    <mergeCell ref="R25:S25"/>
    <mergeCell ref="R27:S27"/>
    <mergeCell ref="R26:S26"/>
    <mergeCell ref="R30:S30"/>
    <mergeCell ref="U27:U28"/>
    <mergeCell ref="R28:S28"/>
    <mergeCell ref="R29:S29"/>
    <mergeCell ref="T21:U21"/>
    <mergeCell ref="R23:S23"/>
    <mergeCell ref="U33:U34"/>
    <mergeCell ref="P16:Q16"/>
    <mergeCell ref="P9:Q9"/>
    <mergeCell ref="T11:U11"/>
    <mergeCell ref="P10:Q10"/>
    <mergeCell ref="P13:Q13"/>
    <mergeCell ref="T9:U9"/>
    <mergeCell ref="T10:U10"/>
    <mergeCell ref="T17:U17"/>
    <mergeCell ref="T19:U19"/>
    <mergeCell ref="T18:U18"/>
    <mergeCell ref="T16:U16"/>
    <mergeCell ref="T14:U14"/>
    <mergeCell ref="T15:U15"/>
    <mergeCell ref="P4:Q4"/>
    <mergeCell ref="P3:Q3"/>
    <mergeCell ref="T4:U4"/>
    <mergeCell ref="T5:U5"/>
    <mergeCell ref="T3:U3"/>
    <mergeCell ref="P17:Q17"/>
    <mergeCell ref="P21:Q21"/>
    <mergeCell ref="P20:Q20"/>
    <mergeCell ref="P19:Q19"/>
    <mergeCell ref="P18:Q18"/>
    <mergeCell ref="P15:Q15"/>
    <mergeCell ref="P14:Q14"/>
    <mergeCell ref="P11:Q11"/>
    <mergeCell ref="P12:Q12"/>
    <mergeCell ref="P7:Q7"/>
    <mergeCell ref="P8:Q8"/>
    <mergeCell ref="T13:U13"/>
    <mergeCell ref="T12:U12"/>
    <mergeCell ref="T8:U8"/>
    <mergeCell ref="L19:M19"/>
    <mergeCell ref="T20:U20"/>
    <mergeCell ref="L20:M20"/>
    <mergeCell ref="L15:M15"/>
    <mergeCell ref="L16:M16"/>
    <mergeCell ref="M25:N25"/>
    <mergeCell ref="M24:N24"/>
    <mergeCell ref="L18:M18"/>
    <mergeCell ref="L17:M17"/>
    <mergeCell ref="L22:S22"/>
    <mergeCell ref="L14:M14"/>
    <mergeCell ref="M23:N23"/>
    <mergeCell ref="L21:M21"/>
    <mergeCell ref="R51:U51"/>
    <mergeCell ref="R52:U52"/>
    <mergeCell ref="R50:U50"/>
    <mergeCell ref="R53:U53"/>
    <mergeCell ref="R24:S24"/>
    <mergeCell ref="U22:U23"/>
    <mergeCell ref="V1:V54"/>
    <mergeCell ref="R43:U43"/>
    <mergeCell ref="T22:T37"/>
    <mergeCell ref="R49:U49"/>
    <mergeCell ref="R48:U48"/>
    <mergeCell ref="M32:N32"/>
    <mergeCell ref="M26:N26"/>
    <mergeCell ref="M29:N29"/>
    <mergeCell ref="M47:N47"/>
    <mergeCell ref="M46:N46"/>
    <mergeCell ref="M49:N49"/>
    <mergeCell ref="M48:N48"/>
    <mergeCell ref="M42:N42"/>
    <mergeCell ref="M43:N43"/>
    <mergeCell ref="M45:N45"/>
    <mergeCell ref="M44:N44"/>
    <mergeCell ref="M31:N31"/>
    <mergeCell ref="M30:N30"/>
    <mergeCell ref="M41:N41"/>
    <mergeCell ref="M40:N40"/>
    <mergeCell ref="M39:N39"/>
    <mergeCell ref="M51:N51"/>
    <mergeCell ref="M50:N50"/>
    <mergeCell ref="L5:M5"/>
    <mergeCell ref="L4:M4"/>
    <mergeCell ref="L9:M9"/>
    <mergeCell ref="L8:M8"/>
    <mergeCell ref="M27:N27"/>
    <mergeCell ref="M28:N28"/>
    <mergeCell ref="K22:K54"/>
    <mergeCell ref="A1:A54"/>
    <mergeCell ref="B54:J54"/>
    <mergeCell ref="L12:M12"/>
    <mergeCell ref="L13:M13"/>
    <mergeCell ref="B38:J38"/>
    <mergeCell ref="L38:U38"/>
    <mergeCell ref="R35:S35"/>
    <mergeCell ref="R36:S36"/>
    <mergeCell ref="M36:N36"/>
    <mergeCell ref="M37:N37"/>
    <mergeCell ref="R37:S37"/>
    <mergeCell ref="U36:U37"/>
    <mergeCell ref="M35:N35"/>
    <mergeCell ref="R45:U45"/>
    <mergeCell ref="R44:U44"/>
    <mergeCell ref="M34:N34"/>
    <mergeCell ref="M33:N33"/>
    <mergeCell ref="R31:S31"/>
    <mergeCell ref="R34:S34"/>
    <mergeCell ref="R33:S33"/>
    <mergeCell ref="R32:S32"/>
    <mergeCell ref="B22:J22"/>
    <mergeCell ref="M52:N52"/>
    <mergeCell ref="M53:N53"/>
    <mergeCell ref="R40:U40"/>
    <mergeCell ref="R39:U39"/>
    <mergeCell ref="L54:U54"/>
    <mergeCell ref="R41:U41"/>
    <mergeCell ref="R42:U42"/>
    <mergeCell ref="R46:U46"/>
    <mergeCell ref="R47:U47"/>
    <mergeCell ref="L11:M11"/>
    <mergeCell ref="L10:M10"/>
  </mergeCells>
  <dataValidations>
    <dataValidation type="list" allowBlank="1" sqref="D3:D21 D24:D37 O24:O37 D40:D53 O40:O53">
      <formula1>'Stat Modification'!$Y$3:$Y$100</formula1>
    </dataValidation>
    <dataValidation type="list" allowBlank="1" sqref="J40:J53">
      <formula1>"Open,Closed,Blast,-"</formula1>
    </dataValidation>
    <dataValidation type="list" allowBlank="1" sqref="E3:E21 E24:E37 E40:E53">
      <formula1>'Skills &amp; Exploits'!$V$2:$V$1000</formula1>
    </dataValidation>
    <dataValidation type="list" allowBlank="1" sqref="O3:O21">
      <formula1>"Light,Medium,Heavy,Chassis,-"</formula1>
    </dataValidation>
    <dataValidation type="list" allowBlank="1" sqref="H3:H21 J3:J21 L3:L21 R3:S21">
      <formula1>'Stat Modification'!$B$3:$B</formula1>
    </dataValidation>
    <dataValidation type="list" allowBlank="1" sqref="T3:T21">
      <formula1>"Yes,-"</formula1>
    </dataValidation>
    <dataValidation type="list" allowBlank="1" sqref="H24:H37">
      <formula1>"Blunt,Spiked,-"</formula1>
    </dataValidation>
  </dataValidations>
  <drawing r:id="rId2"/>
  <legacyDrawing r:id="rId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3.14"/>
    <col customWidth="1" min="3" max="3" width="5.86"/>
    <col customWidth="1" min="5" max="5" width="3.71"/>
    <col customWidth="1" min="6" max="6" width="14.43"/>
    <col customWidth="1" min="7" max="7" width="5.86"/>
    <col customWidth="1" min="9" max="9" width="3.71"/>
    <col customWidth="1" min="10" max="10" width="18.0"/>
    <col customWidth="1" min="21" max="21" width="3.71"/>
    <col customWidth="1" min="26" max="26" width="3.71"/>
  </cols>
  <sheetData>
    <row r="1">
      <c r="A1" s="1"/>
    </row>
    <row r="2">
      <c r="A2" s="1"/>
      <c r="B2" s="4" t="s">
        <v>6</v>
      </c>
      <c r="C2" s="4" t="s">
        <v>78</v>
      </c>
      <c r="D2" s="4" t="s">
        <v>79</v>
      </c>
      <c r="E2" s="37"/>
      <c r="F2" s="4" t="s">
        <v>6</v>
      </c>
      <c r="G2" s="4" t="s">
        <v>78</v>
      </c>
      <c r="H2" s="4" t="s">
        <v>79</v>
      </c>
      <c r="I2" s="1"/>
      <c r="J2" s="4" t="s">
        <v>54</v>
      </c>
      <c r="K2" s="4" t="s">
        <v>20</v>
      </c>
      <c r="U2" s="1"/>
      <c r="V2" s="70" t="s">
        <v>25</v>
      </c>
      <c r="W2" s="72"/>
      <c r="X2" s="72"/>
      <c r="Y2" s="72"/>
      <c r="Z2" s="1"/>
    </row>
    <row r="3">
      <c r="B3" s="5"/>
      <c r="C3" s="5"/>
      <c r="D3" s="8" t="str">
        <f t="shared" ref="D3:D1000" si="1">IF(ISBLANK(C3),"",VLOOKUP(C3,$S$497:$T$527,2)&amp;"d6")</f>
        <v/>
      </c>
      <c r="F3" s="5"/>
      <c r="G3" s="5"/>
      <c r="H3" s="8" t="str">
        <f t="shared" ref="H3:H1000" si="2">IF(ISBLANK(G3),"",VLOOKUP(G3,$S$497:$T$527,2)&amp;"d6")</f>
        <v/>
      </c>
      <c r="J3" s="81"/>
      <c r="K3" s="82"/>
      <c r="V3" s="72" t="str">
        <f>IFERROR(__xludf.DUMMYFUNCTION("FILTER({J497:J611;M497:M611;P497:P611},{J497:J611;M497:M611;P497:P611}&lt;&gt;"""")"),"Select Skill")</f>
        <v>Select Skill</v>
      </c>
      <c r="W3" s="72">
        <f>IFERROR(__xludf.DUMMYFUNCTION("FILTER({K497:K611;N497:N611;Q497:Q611},{K497:K611;N497:N611;Q497:Q611}&lt;&gt;"""",{K497:K611;N497:N611;Q497:Q611}&lt;&gt;0)"),"1")</f>
        <v>1</v>
      </c>
      <c r="X3" s="72">
        <f t="shared" ref="X3:X1000" si="3">IF(ISBLANK(W3),"",VLOOKUP(W3,$S$497:$T$527,2))</f>
        <v>1</v>
      </c>
      <c r="Y3" s="72"/>
    </row>
    <row r="4">
      <c r="B4" s="8"/>
      <c r="C4" s="8"/>
      <c r="D4" s="8" t="str">
        <f t="shared" si="1"/>
        <v/>
      </c>
      <c r="F4" s="8"/>
      <c r="G4" s="8"/>
      <c r="H4" s="8" t="str">
        <f t="shared" si="2"/>
        <v/>
      </c>
      <c r="V4" s="72"/>
      <c r="W4" s="72"/>
      <c r="X4" s="72" t="str">
        <f t="shared" si="3"/>
        <v/>
      </c>
      <c r="Y4" s="72"/>
    </row>
    <row r="5">
      <c r="B5" s="8"/>
      <c r="C5" s="8"/>
      <c r="D5" s="8" t="str">
        <f t="shared" si="1"/>
        <v/>
      </c>
      <c r="F5" s="8"/>
      <c r="G5" s="8"/>
      <c r="H5" s="8" t="str">
        <f t="shared" si="2"/>
        <v/>
      </c>
      <c r="J5" s="89"/>
      <c r="K5" s="82"/>
      <c r="V5" s="72"/>
      <c r="W5" s="72"/>
      <c r="X5" s="72" t="str">
        <f t="shared" si="3"/>
        <v/>
      </c>
      <c r="Y5" s="72"/>
    </row>
    <row r="6">
      <c r="B6" s="8"/>
      <c r="C6" s="8"/>
      <c r="D6" s="8" t="str">
        <f t="shared" si="1"/>
        <v/>
      </c>
      <c r="F6" s="8"/>
      <c r="G6" s="8"/>
      <c r="H6" s="8" t="str">
        <f t="shared" si="2"/>
        <v/>
      </c>
      <c r="V6" s="72"/>
      <c r="W6" s="72"/>
      <c r="X6" s="72" t="str">
        <f t="shared" si="3"/>
        <v/>
      </c>
      <c r="Y6" s="72"/>
    </row>
    <row r="7">
      <c r="B7" s="8"/>
      <c r="C7" s="8"/>
      <c r="D7" s="8" t="str">
        <f t="shared" si="1"/>
        <v/>
      </c>
      <c r="F7" s="8"/>
      <c r="G7" s="8"/>
      <c r="H7" s="8" t="str">
        <f t="shared" si="2"/>
        <v/>
      </c>
      <c r="J7" s="89"/>
      <c r="K7" s="82"/>
      <c r="V7" s="72"/>
      <c r="W7" s="72"/>
      <c r="X7" s="72" t="str">
        <f t="shared" si="3"/>
        <v/>
      </c>
      <c r="Y7" s="72"/>
    </row>
    <row r="8">
      <c r="B8" s="8"/>
      <c r="C8" s="8"/>
      <c r="D8" s="8" t="str">
        <f t="shared" si="1"/>
        <v/>
      </c>
      <c r="F8" s="8"/>
      <c r="G8" s="8"/>
      <c r="H8" s="8" t="str">
        <f t="shared" si="2"/>
        <v/>
      </c>
      <c r="V8" s="72"/>
      <c r="W8" s="72"/>
      <c r="X8" s="72" t="str">
        <f t="shared" si="3"/>
        <v/>
      </c>
      <c r="Y8" s="72"/>
    </row>
    <row r="9">
      <c r="B9" s="8"/>
      <c r="C9" s="8"/>
      <c r="D9" s="8" t="str">
        <f t="shared" si="1"/>
        <v/>
      </c>
      <c r="F9" s="8"/>
      <c r="G9" s="8"/>
      <c r="H9" s="8" t="str">
        <f t="shared" si="2"/>
        <v/>
      </c>
      <c r="J9" s="89"/>
      <c r="K9" s="82"/>
      <c r="V9" s="72"/>
      <c r="W9" s="72"/>
      <c r="X9" s="72" t="str">
        <f t="shared" si="3"/>
        <v/>
      </c>
      <c r="Y9" s="72"/>
    </row>
    <row r="10">
      <c r="B10" s="8"/>
      <c r="C10" s="8"/>
      <c r="D10" s="8" t="str">
        <f t="shared" si="1"/>
        <v/>
      </c>
      <c r="F10" s="8"/>
      <c r="G10" s="8"/>
      <c r="H10" s="8" t="str">
        <f t="shared" si="2"/>
        <v/>
      </c>
      <c r="V10" s="72"/>
      <c r="W10" s="72"/>
      <c r="X10" s="72" t="str">
        <f t="shared" si="3"/>
        <v/>
      </c>
      <c r="Y10" s="72"/>
    </row>
    <row r="11">
      <c r="B11" s="8"/>
      <c r="C11" s="8"/>
      <c r="D11" s="8" t="str">
        <f t="shared" si="1"/>
        <v/>
      </c>
      <c r="F11" s="8"/>
      <c r="G11" s="8"/>
      <c r="H11" s="8" t="str">
        <f t="shared" si="2"/>
        <v/>
      </c>
      <c r="J11" s="89"/>
      <c r="K11" s="82"/>
      <c r="V11" s="72"/>
      <c r="W11" s="72"/>
      <c r="X11" s="72" t="str">
        <f t="shared" si="3"/>
        <v/>
      </c>
      <c r="Y11" s="72"/>
    </row>
    <row r="12">
      <c r="B12" s="8"/>
      <c r="C12" s="8"/>
      <c r="D12" s="8" t="str">
        <f t="shared" si="1"/>
        <v/>
      </c>
      <c r="F12" s="8"/>
      <c r="G12" s="8"/>
      <c r="H12" s="8" t="str">
        <f t="shared" si="2"/>
        <v/>
      </c>
      <c r="V12" s="72"/>
      <c r="W12" s="72"/>
      <c r="X12" s="72" t="str">
        <f t="shared" si="3"/>
        <v/>
      </c>
      <c r="Y12" s="72"/>
    </row>
    <row r="13">
      <c r="B13" s="8"/>
      <c r="C13" s="8"/>
      <c r="D13" s="8" t="str">
        <f t="shared" si="1"/>
        <v/>
      </c>
      <c r="F13" s="8"/>
      <c r="G13" s="8"/>
      <c r="H13" s="8" t="str">
        <f t="shared" si="2"/>
        <v/>
      </c>
      <c r="J13" s="89"/>
      <c r="K13" s="82"/>
      <c r="V13" s="72"/>
      <c r="W13" s="72"/>
      <c r="X13" s="72" t="str">
        <f t="shared" si="3"/>
        <v/>
      </c>
      <c r="Y13" s="72"/>
    </row>
    <row r="14">
      <c r="B14" s="8"/>
      <c r="C14" s="8"/>
      <c r="D14" s="8" t="str">
        <f t="shared" si="1"/>
        <v/>
      </c>
      <c r="F14" s="8"/>
      <c r="G14" s="8"/>
      <c r="H14" s="8" t="str">
        <f t="shared" si="2"/>
        <v/>
      </c>
      <c r="V14" s="72"/>
      <c r="W14" s="72"/>
      <c r="X14" s="72" t="str">
        <f t="shared" si="3"/>
        <v/>
      </c>
      <c r="Y14" s="72"/>
    </row>
    <row r="15">
      <c r="B15" s="8"/>
      <c r="C15" s="8"/>
      <c r="D15" s="8" t="str">
        <f t="shared" si="1"/>
        <v/>
      </c>
      <c r="F15" s="8"/>
      <c r="G15" s="8"/>
      <c r="H15" s="8" t="str">
        <f t="shared" si="2"/>
        <v/>
      </c>
      <c r="J15" s="89"/>
      <c r="K15" s="82"/>
      <c r="V15" s="72"/>
      <c r="W15" s="72"/>
      <c r="X15" s="72" t="str">
        <f t="shared" si="3"/>
        <v/>
      </c>
      <c r="Y15" s="72"/>
    </row>
    <row r="16">
      <c r="B16" s="8"/>
      <c r="C16" s="8"/>
      <c r="D16" s="8" t="str">
        <f t="shared" si="1"/>
        <v/>
      </c>
      <c r="F16" s="8"/>
      <c r="G16" s="8"/>
      <c r="H16" s="8" t="str">
        <f t="shared" si="2"/>
        <v/>
      </c>
      <c r="V16" s="72"/>
      <c r="W16" s="72"/>
      <c r="X16" s="72" t="str">
        <f t="shared" si="3"/>
        <v/>
      </c>
      <c r="Y16" s="72"/>
    </row>
    <row r="17">
      <c r="B17" s="8"/>
      <c r="C17" s="8"/>
      <c r="D17" s="8" t="str">
        <f t="shared" si="1"/>
        <v/>
      </c>
      <c r="F17" s="8"/>
      <c r="G17" s="8"/>
      <c r="H17" s="8" t="str">
        <f t="shared" si="2"/>
        <v/>
      </c>
      <c r="J17" s="89"/>
      <c r="K17" s="82"/>
      <c r="V17" s="72"/>
      <c r="W17" s="72"/>
      <c r="X17" s="72" t="str">
        <f t="shared" si="3"/>
        <v/>
      </c>
      <c r="Y17" s="72"/>
    </row>
    <row r="18">
      <c r="B18" s="8"/>
      <c r="C18" s="8"/>
      <c r="D18" s="8" t="str">
        <f t="shared" si="1"/>
        <v/>
      </c>
      <c r="F18" s="8"/>
      <c r="G18" s="8"/>
      <c r="H18" s="8" t="str">
        <f t="shared" si="2"/>
        <v/>
      </c>
      <c r="V18" s="72"/>
      <c r="W18" s="72"/>
      <c r="X18" s="72" t="str">
        <f t="shared" si="3"/>
        <v/>
      </c>
      <c r="Y18" s="72"/>
    </row>
    <row r="19">
      <c r="B19" s="8"/>
      <c r="C19" s="8"/>
      <c r="D19" s="8" t="str">
        <f t="shared" si="1"/>
        <v/>
      </c>
      <c r="F19" s="8"/>
      <c r="G19" s="8"/>
      <c r="H19" s="8" t="str">
        <f t="shared" si="2"/>
        <v/>
      </c>
      <c r="J19" s="89"/>
      <c r="K19" s="82"/>
      <c r="V19" s="72"/>
      <c r="W19" s="72"/>
      <c r="X19" s="72" t="str">
        <f t="shared" si="3"/>
        <v/>
      </c>
      <c r="Y19" s="72"/>
    </row>
    <row r="20">
      <c r="B20" s="8"/>
      <c r="C20" s="8"/>
      <c r="D20" s="8" t="str">
        <f t="shared" si="1"/>
        <v/>
      </c>
      <c r="F20" s="8"/>
      <c r="G20" s="8"/>
      <c r="H20" s="8" t="str">
        <f t="shared" si="2"/>
        <v/>
      </c>
      <c r="V20" s="72"/>
      <c r="W20" s="72"/>
      <c r="X20" s="72" t="str">
        <f t="shared" si="3"/>
        <v/>
      </c>
      <c r="Y20" s="72"/>
    </row>
    <row r="21">
      <c r="B21" s="8"/>
      <c r="C21" s="8"/>
      <c r="D21" s="8" t="str">
        <f t="shared" si="1"/>
        <v/>
      </c>
      <c r="F21" s="8"/>
      <c r="G21" s="8"/>
      <c r="H21" s="8" t="str">
        <f t="shared" si="2"/>
        <v/>
      </c>
      <c r="J21" s="89"/>
      <c r="K21" s="82"/>
      <c r="V21" s="72"/>
      <c r="W21" s="72"/>
      <c r="X21" s="72" t="str">
        <f t="shared" si="3"/>
        <v/>
      </c>
      <c r="Y21" s="72"/>
    </row>
    <row r="22">
      <c r="B22" s="8"/>
      <c r="C22" s="8"/>
      <c r="D22" s="8" t="str">
        <f t="shared" si="1"/>
        <v/>
      </c>
      <c r="F22" s="8"/>
      <c r="G22" s="8"/>
      <c r="H22" s="8" t="str">
        <f t="shared" si="2"/>
        <v/>
      </c>
      <c r="V22" s="72"/>
      <c r="W22" s="72"/>
      <c r="X22" s="72" t="str">
        <f t="shared" si="3"/>
        <v/>
      </c>
      <c r="Y22" s="72"/>
    </row>
    <row r="23">
      <c r="B23" s="8"/>
      <c r="C23" s="8"/>
      <c r="D23" s="8" t="str">
        <f t="shared" si="1"/>
        <v/>
      </c>
      <c r="F23" s="8"/>
      <c r="G23" s="8"/>
      <c r="H23" s="8" t="str">
        <f t="shared" si="2"/>
        <v/>
      </c>
      <c r="J23" s="89"/>
      <c r="K23" s="82"/>
      <c r="V23" s="72"/>
      <c r="W23" s="72"/>
      <c r="X23" s="72" t="str">
        <f t="shared" si="3"/>
        <v/>
      </c>
      <c r="Y23" s="72"/>
    </row>
    <row r="24">
      <c r="B24" s="8"/>
      <c r="C24" s="8"/>
      <c r="D24" s="8" t="str">
        <f t="shared" si="1"/>
        <v/>
      </c>
      <c r="F24" s="8"/>
      <c r="G24" s="8"/>
      <c r="H24" s="8" t="str">
        <f t="shared" si="2"/>
        <v/>
      </c>
      <c r="V24" s="72"/>
      <c r="W24" s="72"/>
      <c r="X24" s="72" t="str">
        <f t="shared" si="3"/>
        <v/>
      </c>
      <c r="Y24" s="72"/>
    </row>
    <row r="25">
      <c r="B25" s="8"/>
      <c r="C25" s="8"/>
      <c r="D25" s="8" t="str">
        <f t="shared" si="1"/>
        <v/>
      </c>
      <c r="F25" s="8"/>
      <c r="G25" s="8"/>
      <c r="H25" s="8" t="str">
        <f t="shared" si="2"/>
        <v/>
      </c>
      <c r="J25" s="89"/>
      <c r="K25" s="82"/>
      <c r="V25" s="72"/>
      <c r="W25" s="72"/>
      <c r="X25" s="72" t="str">
        <f t="shared" si="3"/>
        <v/>
      </c>
      <c r="Y25" s="72"/>
    </row>
    <row r="26">
      <c r="B26" s="8"/>
      <c r="C26" s="8"/>
      <c r="D26" s="8" t="str">
        <f t="shared" si="1"/>
        <v/>
      </c>
      <c r="F26" s="8"/>
      <c r="G26" s="8"/>
      <c r="H26" s="8" t="str">
        <f t="shared" si="2"/>
        <v/>
      </c>
      <c r="V26" s="72"/>
      <c r="W26" s="72"/>
      <c r="X26" s="72" t="str">
        <f t="shared" si="3"/>
        <v/>
      </c>
      <c r="Y26" s="72"/>
    </row>
    <row r="27">
      <c r="B27" s="8"/>
      <c r="C27" s="8"/>
      <c r="D27" s="8" t="str">
        <f t="shared" si="1"/>
        <v/>
      </c>
      <c r="F27" s="8"/>
      <c r="G27" s="8"/>
      <c r="H27" s="8" t="str">
        <f t="shared" si="2"/>
        <v/>
      </c>
      <c r="J27" s="89"/>
      <c r="K27" s="82"/>
      <c r="V27" s="72"/>
      <c r="W27" s="72"/>
      <c r="X27" s="72" t="str">
        <f t="shared" si="3"/>
        <v/>
      </c>
      <c r="Y27" s="72"/>
    </row>
    <row r="28">
      <c r="B28" s="8"/>
      <c r="C28" s="8"/>
      <c r="D28" s="8" t="str">
        <f t="shared" si="1"/>
        <v/>
      </c>
      <c r="F28" s="8"/>
      <c r="G28" s="8"/>
      <c r="H28" s="8" t="str">
        <f t="shared" si="2"/>
        <v/>
      </c>
      <c r="V28" s="72"/>
      <c r="W28" s="72"/>
      <c r="X28" s="72" t="str">
        <f t="shared" si="3"/>
        <v/>
      </c>
      <c r="Y28" s="72"/>
    </row>
    <row r="29">
      <c r="B29" s="8"/>
      <c r="C29" s="8"/>
      <c r="D29" s="8" t="str">
        <f t="shared" si="1"/>
        <v/>
      </c>
      <c r="F29" s="8"/>
      <c r="G29" s="8"/>
      <c r="H29" s="8" t="str">
        <f t="shared" si="2"/>
        <v/>
      </c>
      <c r="J29" s="89"/>
      <c r="K29" s="82"/>
      <c r="V29" s="72"/>
      <c r="W29" s="72"/>
      <c r="X29" s="72" t="str">
        <f t="shared" si="3"/>
        <v/>
      </c>
      <c r="Y29" s="72"/>
    </row>
    <row r="30">
      <c r="B30" s="8"/>
      <c r="C30" s="8"/>
      <c r="D30" s="8" t="str">
        <f t="shared" si="1"/>
        <v/>
      </c>
      <c r="F30" s="8"/>
      <c r="G30" s="8"/>
      <c r="H30" s="8" t="str">
        <f t="shared" si="2"/>
        <v/>
      </c>
      <c r="V30" s="72"/>
      <c r="W30" s="72"/>
      <c r="X30" s="72" t="str">
        <f t="shared" si="3"/>
        <v/>
      </c>
      <c r="Y30" s="72"/>
    </row>
    <row r="31">
      <c r="B31" s="8"/>
      <c r="C31" s="8"/>
      <c r="D31" s="8" t="str">
        <f t="shared" si="1"/>
        <v/>
      </c>
      <c r="F31" s="8"/>
      <c r="G31" s="8"/>
      <c r="H31" s="8" t="str">
        <f t="shared" si="2"/>
        <v/>
      </c>
      <c r="J31" s="89"/>
      <c r="K31" s="82"/>
      <c r="V31" s="72"/>
      <c r="W31" s="72"/>
      <c r="X31" s="72" t="str">
        <f t="shared" si="3"/>
        <v/>
      </c>
      <c r="Y31" s="72"/>
    </row>
    <row r="32">
      <c r="B32" s="8"/>
      <c r="C32" s="8"/>
      <c r="D32" s="8" t="str">
        <f t="shared" si="1"/>
        <v/>
      </c>
      <c r="F32" s="8"/>
      <c r="G32" s="8"/>
      <c r="H32" s="8" t="str">
        <f t="shared" si="2"/>
        <v/>
      </c>
      <c r="V32" s="72"/>
      <c r="W32" s="72"/>
      <c r="X32" s="72" t="str">
        <f t="shared" si="3"/>
        <v/>
      </c>
      <c r="Y32" s="72"/>
    </row>
    <row r="33">
      <c r="B33" s="8"/>
      <c r="C33" s="8"/>
      <c r="D33" s="8" t="str">
        <f t="shared" si="1"/>
        <v/>
      </c>
      <c r="F33" s="8"/>
      <c r="G33" s="8"/>
      <c r="H33" s="8" t="str">
        <f t="shared" si="2"/>
        <v/>
      </c>
      <c r="J33" s="89"/>
      <c r="K33" s="82"/>
      <c r="V33" s="72"/>
      <c r="W33" s="72"/>
      <c r="X33" s="72" t="str">
        <f t="shared" si="3"/>
        <v/>
      </c>
      <c r="Y33" s="72"/>
    </row>
    <row r="34">
      <c r="B34" s="8"/>
      <c r="C34" s="8"/>
      <c r="D34" s="8" t="str">
        <f t="shared" si="1"/>
        <v/>
      </c>
      <c r="F34" s="8"/>
      <c r="G34" s="8"/>
      <c r="H34" s="8" t="str">
        <f t="shared" si="2"/>
        <v/>
      </c>
      <c r="V34" s="72"/>
      <c r="W34" s="72"/>
      <c r="X34" s="72" t="str">
        <f t="shared" si="3"/>
        <v/>
      </c>
      <c r="Y34" s="72"/>
    </row>
    <row r="35">
      <c r="B35" s="8"/>
      <c r="C35" s="8"/>
      <c r="D35" s="8" t="str">
        <f t="shared" si="1"/>
        <v/>
      </c>
      <c r="F35" s="8"/>
      <c r="G35" s="8"/>
      <c r="H35" s="8" t="str">
        <f t="shared" si="2"/>
        <v/>
      </c>
      <c r="J35" s="89"/>
      <c r="K35" s="82"/>
      <c r="V35" s="72"/>
      <c r="W35" s="72"/>
      <c r="X35" s="72" t="str">
        <f t="shared" si="3"/>
        <v/>
      </c>
      <c r="Y35" s="72"/>
    </row>
    <row r="36">
      <c r="B36" s="8"/>
      <c r="C36" s="8"/>
      <c r="D36" s="8" t="str">
        <f t="shared" si="1"/>
        <v/>
      </c>
      <c r="F36" s="8"/>
      <c r="G36" s="8"/>
      <c r="H36" s="8" t="str">
        <f t="shared" si="2"/>
        <v/>
      </c>
      <c r="V36" s="72"/>
      <c r="W36" s="72"/>
      <c r="X36" s="72" t="str">
        <f t="shared" si="3"/>
        <v/>
      </c>
      <c r="Y36" s="72"/>
    </row>
    <row r="37">
      <c r="B37" s="8"/>
      <c r="C37" s="8"/>
      <c r="D37" s="8" t="str">
        <f t="shared" si="1"/>
        <v/>
      </c>
      <c r="F37" s="8"/>
      <c r="G37" s="8"/>
      <c r="H37" s="8" t="str">
        <f t="shared" si="2"/>
        <v/>
      </c>
      <c r="J37" s="89"/>
      <c r="K37" s="82"/>
      <c r="V37" s="72"/>
      <c r="W37" s="72"/>
      <c r="X37" s="72" t="str">
        <f t="shared" si="3"/>
        <v/>
      </c>
      <c r="Y37" s="72"/>
    </row>
    <row r="38">
      <c r="B38" s="8"/>
      <c r="C38" s="8"/>
      <c r="D38" s="8" t="str">
        <f t="shared" si="1"/>
        <v/>
      </c>
      <c r="F38" s="8"/>
      <c r="G38" s="8"/>
      <c r="H38" s="8" t="str">
        <f t="shared" si="2"/>
        <v/>
      </c>
      <c r="V38" s="72"/>
      <c r="W38" s="72"/>
      <c r="X38" s="72" t="str">
        <f t="shared" si="3"/>
        <v/>
      </c>
      <c r="Y38" s="72"/>
    </row>
    <row r="39">
      <c r="B39" s="8"/>
      <c r="C39" s="8"/>
      <c r="D39" s="8" t="str">
        <f t="shared" si="1"/>
        <v/>
      </c>
      <c r="F39" s="8"/>
      <c r="G39" s="8"/>
      <c r="H39" s="8" t="str">
        <f t="shared" si="2"/>
        <v/>
      </c>
      <c r="J39" s="89"/>
      <c r="K39" s="82"/>
      <c r="V39" s="72"/>
      <c r="W39" s="72"/>
      <c r="X39" s="72" t="str">
        <f t="shared" si="3"/>
        <v/>
      </c>
      <c r="Y39" s="72"/>
    </row>
    <row r="40">
      <c r="B40" s="8"/>
      <c r="C40" s="8"/>
      <c r="D40" s="8" t="str">
        <f t="shared" si="1"/>
        <v/>
      </c>
      <c r="F40" s="8"/>
      <c r="G40" s="8"/>
      <c r="H40" s="8" t="str">
        <f t="shared" si="2"/>
        <v/>
      </c>
      <c r="V40" s="72"/>
      <c r="W40" s="72"/>
      <c r="X40" s="72" t="str">
        <f t="shared" si="3"/>
        <v/>
      </c>
      <c r="Y40" s="72"/>
    </row>
    <row r="41">
      <c r="B41" s="8"/>
      <c r="C41" s="8"/>
      <c r="D41" s="8" t="str">
        <f t="shared" si="1"/>
        <v/>
      </c>
      <c r="F41" s="8"/>
      <c r="G41" s="8"/>
      <c r="H41" s="8" t="str">
        <f t="shared" si="2"/>
        <v/>
      </c>
      <c r="J41" s="89"/>
      <c r="K41" s="82"/>
      <c r="V41" s="72"/>
      <c r="W41" s="72"/>
      <c r="X41" s="72" t="str">
        <f t="shared" si="3"/>
        <v/>
      </c>
      <c r="Y41" s="72"/>
    </row>
    <row r="42">
      <c r="B42" s="8"/>
      <c r="C42" s="8"/>
      <c r="D42" s="8" t="str">
        <f t="shared" si="1"/>
        <v/>
      </c>
      <c r="F42" s="8"/>
      <c r="G42" s="8"/>
      <c r="H42" s="8" t="str">
        <f t="shared" si="2"/>
        <v/>
      </c>
      <c r="V42" s="72"/>
      <c r="W42" s="72"/>
      <c r="X42" s="72" t="str">
        <f t="shared" si="3"/>
        <v/>
      </c>
      <c r="Y42" s="72"/>
    </row>
    <row r="43">
      <c r="B43" s="8"/>
      <c r="C43" s="8"/>
      <c r="D43" s="8" t="str">
        <f t="shared" si="1"/>
        <v/>
      </c>
      <c r="F43" s="8"/>
      <c r="G43" s="8"/>
      <c r="H43" s="8" t="str">
        <f t="shared" si="2"/>
        <v/>
      </c>
      <c r="J43" s="89"/>
      <c r="K43" s="82"/>
      <c r="V43" s="72"/>
      <c r="W43" s="72"/>
      <c r="X43" s="72" t="str">
        <f t="shared" si="3"/>
        <v/>
      </c>
      <c r="Y43" s="72"/>
    </row>
    <row r="44">
      <c r="B44" s="8"/>
      <c r="C44" s="8"/>
      <c r="D44" s="8" t="str">
        <f t="shared" si="1"/>
        <v/>
      </c>
      <c r="F44" s="8"/>
      <c r="G44" s="8"/>
      <c r="H44" s="8" t="str">
        <f t="shared" si="2"/>
        <v/>
      </c>
      <c r="V44" s="72"/>
      <c r="W44" s="72"/>
      <c r="X44" s="72" t="str">
        <f t="shared" si="3"/>
        <v/>
      </c>
      <c r="Y44" s="72"/>
    </row>
    <row r="45">
      <c r="B45" s="8"/>
      <c r="C45" s="8"/>
      <c r="D45" s="8" t="str">
        <f t="shared" si="1"/>
        <v/>
      </c>
      <c r="F45" s="8"/>
      <c r="G45" s="8"/>
      <c r="H45" s="8" t="str">
        <f t="shared" si="2"/>
        <v/>
      </c>
      <c r="J45" s="89"/>
      <c r="K45" s="82"/>
      <c r="V45" s="72"/>
      <c r="W45" s="72"/>
      <c r="X45" s="72" t="str">
        <f t="shared" si="3"/>
        <v/>
      </c>
      <c r="Y45" s="72"/>
    </row>
    <row r="46">
      <c r="B46" s="8"/>
      <c r="C46" s="8"/>
      <c r="D46" s="8" t="str">
        <f t="shared" si="1"/>
        <v/>
      </c>
      <c r="F46" s="8"/>
      <c r="G46" s="8"/>
      <c r="H46" s="8" t="str">
        <f t="shared" si="2"/>
        <v/>
      </c>
      <c r="V46" s="72"/>
      <c r="W46" s="72"/>
      <c r="X46" s="72" t="str">
        <f t="shared" si="3"/>
        <v/>
      </c>
      <c r="Y46" s="72"/>
    </row>
    <row r="47">
      <c r="B47" s="8"/>
      <c r="C47" s="8"/>
      <c r="D47" s="8" t="str">
        <f t="shared" si="1"/>
        <v/>
      </c>
      <c r="F47" s="8"/>
      <c r="G47" s="8"/>
      <c r="H47" s="8" t="str">
        <f t="shared" si="2"/>
        <v/>
      </c>
      <c r="J47" s="89"/>
      <c r="K47" s="82"/>
      <c r="V47" s="72"/>
      <c r="W47" s="72"/>
      <c r="X47" s="72" t="str">
        <f t="shared" si="3"/>
        <v/>
      </c>
      <c r="Y47" s="72"/>
    </row>
    <row r="48">
      <c r="B48" s="8"/>
      <c r="C48" s="8"/>
      <c r="D48" s="8" t="str">
        <f t="shared" si="1"/>
        <v/>
      </c>
      <c r="F48" s="8"/>
      <c r="G48" s="8"/>
      <c r="H48" s="8" t="str">
        <f t="shared" si="2"/>
        <v/>
      </c>
      <c r="V48" s="72"/>
      <c r="W48" s="72"/>
      <c r="X48" s="72" t="str">
        <f t="shared" si="3"/>
        <v/>
      </c>
      <c r="Y48" s="72"/>
    </row>
    <row r="49">
      <c r="B49" s="8"/>
      <c r="C49" s="8"/>
      <c r="D49" s="8" t="str">
        <f t="shared" si="1"/>
        <v/>
      </c>
      <c r="F49" s="8"/>
      <c r="G49" s="8"/>
      <c r="H49" s="8" t="str">
        <f t="shared" si="2"/>
        <v/>
      </c>
      <c r="J49" s="89"/>
      <c r="K49" s="82"/>
      <c r="V49" s="72"/>
      <c r="W49" s="72"/>
      <c r="X49" s="72" t="str">
        <f t="shared" si="3"/>
        <v/>
      </c>
      <c r="Y49" s="72"/>
    </row>
    <row r="50">
      <c r="B50" s="8"/>
      <c r="C50" s="8"/>
      <c r="D50" s="8" t="str">
        <f t="shared" si="1"/>
        <v/>
      </c>
      <c r="F50" s="8"/>
      <c r="G50" s="8"/>
      <c r="H50" s="8" t="str">
        <f t="shared" si="2"/>
        <v/>
      </c>
      <c r="V50" s="72"/>
      <c r="W50" s="72"/>
      <c r="X50" s="72" t="str">
        <f t="shared" si="3"/>
        <v/>
      </c>
      <c r="Y50" s="72"/>
    </row>
    <row r="51">
      <c r="B51" s="8"/>
      <c r="C51" s="8"/>
      <c r="D51" s="8" t="str">
        <f t="shared" si="1"/>
        <v/>
      </c>
      <c r="F51" s="8"/>
      <c r="G51" s="8"/>
      <c r="H51" s="8" t="str">
        <f t="shared" si="2"/>
        <v/>
      </c>
      <c r="J51" s="89"/>
      <c r="K51" s="82"/>
      <c r="V51" s="72"/>
      <c r="W51" s="72"/>
      <c r="X51" s="72" t="str">
        <f t="shared" si="3"/>
        <v/>
      </c>
      <c r="Y51" s="72"/>
    </row>
    <row r="52">
      <c r="B52" s="8"/>
      <c r="C52" s="8"/>
      <c r="D52" s="8" t="str">
        <f t="shared" si="1"/>
        <v/>
      </c>
      <c r="F52" s="8"/>
      <c r="G52" s="8"/>
      <c r="H52" s="8" t="str">
        <f t="shared" si="2"/>
        <v/>
      </c>
      <c r="V52" s="72"/>
      <c r="W52" s="72"/>
      <c r="X52" s="72" t="str">
        <f t="shared" si="3"/>
        <v/>
      </c>
      <c r="Y52" s="72"/>
    </row>
    <row r="53">
      <c r="B53" s="8"/>
      <c r="C53" s="8"/>
      <c r="D53" s="8" t="str">
        <f t="shared" si="1"/>
        <v/>
      </c>
      <c r="F53" s="8"/>
      <c r="G53" s="8"/>
      <c r="H53" s="8" t="str">
        <f t="shared" si="2"/>
        <v/>
      </c>
      <c r="J53" s="89"/>
      <c r="K53" s="82"/>
      <c r="V53" s="72"/>
      <c r="W53" s="72"/>
      <c r="X53" s="72" t="str">
        <f t="shared" si="3"/>
        <v/>
      </c>
      <c r="Y53" s="72"/>
    </row>
    <row r="54">
      <c r="B54" s="8"/>
      <c r="C54" s="8"/>
      <c r="D54" s="8" t="str">
        <f t="shared" si="1"/>
        <v/>
      </c>
      <c r="F54" s="8"/>
      <c r="G54" s="8"/>
      <c r="H54" s="8" t="str">
        <f t="shared" si="2"/>
        <v/>
      </c>
      <c r="V54" s="72"/>
      <c r="W54" s="72"/>
      <c r="X54" s="72" t="str">
        <f t="shared" si="3"/>
        <v/>
      </c>
      <c r="Y54" s="72"/>
    </row>
    <row r="55">
      <c r="B55" s="8"/>
      <c r="C55" s="8"/>
      <c r="D55" s="8" t="str">
        <f t="shared" si="1"/>
        <v/>
      </c>
      <c r="F55" s="8"/>
      <c r="G55" s="8"/>
      <c r="H55" s="8" t="str">
        <f t="shared" si="2"/>
        <v/>
      </c>
      <c r="J55" s="89"/>
      <c r="K55" s="82"/>
      <c r="V55" s="72"/>
      <c r="W55" s="72"/>
      <c r="X55" s="72" t="str">
        <f t="shared" si="3"/>
        <v/>
      </c>
      <c r="Y55" s="72"/>
    </row>
    <row r="56">
      <c r="B56" s="8"/>
      <c r="C56" s="8"/>
      <c r="D56" s="8" t="str">
        <f t="shared" si="1"/>
        <v/>
      </c>
      <c r="F56" s="8"/>
      <c r="G56" s="8"/>
      <c r="H56" s="8" t="str">
        <f t="shared" si="2"/>
        <v/>
      </c>
      <c r="V56" s="72"/>
      <c r="W56" s="72"/>
      <c r="X56" s="72" t="str">
        <f t="shared" si="3"/>
        <v/>
      </c>
      <c r="Y56" s="72"/>
    </row>
    <row r="57">
      <c r="B57" s="8"/>
      <c r="C57" s="8"/>
      <c r="D57" s="8" t="str">
        <f t="shared" si="1"/>
        <v/>
      </c>
      <c r="F57" s="8"/>
      <c r="G57" s="8"/>
      <c r="H57" s="8" t="str">
        <f t="shared" si="2"/>
        <v/>
      </c>
      <c r="J57" s="89"/>
      <c r="K57" s="82"/>
      <c r="V57" s="72"/>
      <c r="W57" s="72"/>
      <c r="X57" s="72" t="str">
        <f t="shared" si="3"/>
        <v/>
      </c>
      <c r="Y57" s="72"/>
    </row>
    <row r="58">
      <c r="B58" s="8"/>
      <c r="C58" s="8"/>
      <c r="D58" s="8" t="str">
        <f t="shared" si="1"/>
        <v/>
      </c>
      <c r="F58" s="8"/>
      <c r="G58" s="8"/>
      <c r="H58" s="8" t="str">
        <f t="shared" si="2"/>
        <v/>
      </c>
      <c r="V58" s="72"/>
      <c r="W58" s="72"/>
      <c r="X58" s="72" t="str">
        <f t="shared" si="3"/>
        <v/>
      </c>
      <c r="Y58" s="72"/>
    </row>
    <row r="59">
      <c r="B59" s="8"/>
      <c r="C59" s="8"/>
      <c r="D59" s="8" t="str">
        <f t="shared" si="1"/>
        <v/>
      </c>
      <c r="F59" s="8"/>
      <c r="G59" s="8"/>
      <c r="H59" s="8" t="str">
        <f t="shared" si="2"/>
        <v/>
      </c>
      <c r="J59" s="89"/>
      <c r="K59" s="82"/>
      <c r="V59" s="72"/>
      <c r="W59" s="72"/>
      <c r="X59" s="72" t="str">
        <f t="shared" si="3"/>
        <v/>
      </c>
      <c r="Y59" s="72"/>
    </row>
    <row r="60">
      <c r="B60" s="8"/>
      <c r="C60" s="8"/>
      <c r="D60" s="8" t="str">
        <f t="shared" si="1"/>
        <v/>
      </c>
      <c r="F60" s="8"/>
      <c r="G60" s="8"/>
      <c r="H60" s="8" t="str">
        <f t="shared" si="2"/>
        <v/>
      </c>
      <c r="V60" s="72"/>
      <c r="W60" s="72"/>
      <c r="X60" s="72" t="str">
        <f t="shared" si="3"/>
        <v/>
      </c>
      <c r="Y60" s="72"/>
    </row>
    <row r="61">
      <c r="B61" s="8"/>
      <c r="C61" s="8"/>
      <c r="D61" s="8" t="str">
        <f t="shared" si="1"/>
        <v/>
      </c>
      <c r="F61" s="8"/>
      <c r="G61" s="8"/>
      <c r="H61" s="8" t="str">
        <f t="shared" si="2"/>
        <v/>
      </c>
      <c r="J61" s="89"/>
      <c r="K61" s="82"/>
      <c r="V61" s="72"/>
      <c r="W61" s="72"/>
      <c r="X61" s="72" t="str">
        <f t="shared" si="3"/>
        <v/>
      </c>
      <c r="Y61" s="72"/>
    </row>
    <row r="62">
      <c r="B62" s="8"/>
      <c r="C62" s="8"/>
      <c r="D62" s="8" t="str">
        <f t="shared" si="1"/>
        <v/>
      </c>
      <c r="F62" s="8"/>
      <c r="G62" s="8"/>
      <c r="H62" s="8" t="str">
        <f t="shared" si="2"/>
        <v/>
      </c>
      <c r="V62" s="72"/>
      <c r="W62" s="72"/>
      <c r="X62" s="72" t="str">
        <f t="shared" si="3"/>
        <v/>
      </c>
      <c r="Y62" s="72"/>
    </row>
    <row r="63">
      <c r="B63" s="8"/>
      <c r="C63" s="8"/>
      <c r="D63" s="8" t="str">
        <f t="shared" si="1"/>
        <v/>
      </c>
      <c r="F63" s="8"/>
      <c r="G63" s="8"/>
      <c r="H63" s="8" t="str">
        <f t="shared" si="2"/>
        <v/>
      </c>
      <c r="J63" s="89"/>
      <c r="K63" s="82"/>
      <c r="V63" s="72"/>
      <c r="W63" s="72"/>
      <c r="X63" s="72" t="str">
        <f t="shared" si="3"/>
        <v/>
      </c>
      <c r="Y63" s="72"/>
    </row>
    <row r="64">
      <c r="B64" s="8"/>
      <c r="C64" s="8"/>
      <c r="D64" s="8" t="str">
        <f t="shared" si="1"/>
        <v/>
      </c>
      <c r="F64" s="8"/>
      <c r="G64" s="8"/>
      <c r="H64" s="8" t="str">
        <f t="shared" si="2"/>
        <v/>
      </c>
      <c r="V64" s="72"/>
      <c r="W64" s="72"/>
      <c r="X64" s="72" t="str">
        <f t="shared" si="3"/>
        <v/>
      </c>
      <c r="Y64" s="72"/>
    </row>
    <row r="65">
      <c r="B65" s="8"/>
      <c r="C65" s="8"/>
      <c r="D65" s="8" t="str">
        <f t="shared" si="1"/>
        <v/>
      </c>
      <c r="F65" s="8"/>
      <c r="G65" s="8"/>
      <c r="H65" s="8" t="str">
        <f t="shared" si="2"/>
        <v/>
      </c>
      <c r="J65" s="89"/>
      <c r="K65" s="82"/>
      <c r="V65" s="72"/>
      <c r="W65" s="72"/>
      <c r="X65" s="72" t="str">
        <f t="shared" si="3"/>
        <v/>
      </c>
      <c r="Y65" s="72"/>
    </row>
    <row r="66">
      <c r="B66" s="8"/>
      <c r="C66" s="8"/>
      <c r="D66" s="8" t="str">
        <f t="shared" si="1"/>
        <v/>
      </c>
      <c r="F66" s="8"/>
      <c r="G66" s="8"/>
      <c r="H66" s="8" t="str">
        <f t="shared" si="2"/>
        <v/>
      </c>
      <c r="V66" s="72"/>
      <c r="W66" s="72"/>
      <c r="X66" s="72" t="str">
        <f t="shared" si="3"/>
        <v/>
      </c>
      <c r="Y66" s="72"/>
    </row>
    <row r="67">
      <c r="B67" s="8"/>
      <c r="C67" s="8"/>
      <c r="D67" s="8" t="str">
        <f t="shared" si="1"/>
        <v/>
      </c>
      <c r="F67" s="8"/>
      <c r="G67" s="8"/>
      <c r="H67" s="8" t="str">
        <f t="shared" si="2"/>
        <v/>
      </c>
      <c r="J67" s="89"/>
      <c r="K67" s="82"/>
      <c r="V67" s="72"/>
      <c r="W67" s="72"/>
      <c r="X67" s="72" t="str">
        <f t="shared" si="3"/>
        <v/>
      </c>
      <c r="Y67" s="72"/>
    </row>
    <row r="68">
      <c r="B68" s="8"/>
      <c r="C68" s="8"/>
      <c r="D68" s="8" t="str">
        <f t="shared" si="1"/>
        <v/>
      </c>
      <c r="F68" s="8"/>
      <c r="G68" s="8"/>
      <c r="H68" s="8" t="str">
        <f t="shared" si="2"/>
        <v/>
      </c>
      <c r="V68" s="72"/>
      <c r="W68" s="72"/>
      <c r="X68" s="72" t="str">
        <f t="shared" si="3"/>
        <v/>
      </c>
      <c r="Y68" s="72"/>
    </row>
    <row r="69">
      <c r="B69" s="8"/>
      <c r="C69" s="8"/>
      <c r="D69" s="8" t="str">
        <f t="shared" si="1"/>
        <v/>
      </c>
      <c r="F69" s="8"/>
      <c r="G69" s="8"/>
      <c r="H69" s="8" t="str">
        <f t="shared" si="2"/>
        <v/>
      </c>
      <c r="J69" s="89"/>
      <c r="K69" s="82"/>
      <c r="V69" s="72"/>
      <c r="W69" s="72"/>
      <c r="X69" s="72" t="str">
        <f t="shared" si="3"/>
        <v/>
      </c>
      <c r="Y69" s="72"/>
    </row>
    <row r="70">
      <c r="B70" s="8"/>
      <c r="C70" s="8"/>
      <c r="D70" s="8" t="str">
        <f t="shared" si="1"/>
        <v/>
      </c>
      <c r="F70" s="8"/>
      <c r="G70" s="8"/>
      <c r="H70" s="8" t="str">
        <f t="shared" si="2"/>
        <v/>
      </c>
      <c r="V70" s="72"/>
      <c r="W70" s="72"/>
      <c r="X70" s="72" t="str">
        <f t="shared" si="3"/>
        <v/>
      </c>
      <c r="Y70" s="72"/>
    </row>
    <row r="71">
      <c r="B71" s="8"/>
      <c r="C71" s="8"/>
      <c r="D71" s="8" t="str">
        <f t="shared" si="1"/>
        <v/>
      </c>
      <c r="F71" s="8"/>
      <c r="G71" s="8"/>
      <c r="H71" s="8" t="str">
        <f t="shared" si="2"/>
        <v/>
      </c>
      <c r="J71" s="89"/>
      <c r="K71" s="82"/>
      <c r="V71" s="72"/>
      <c r="W71" s="72"/>
      <c r="X71" s="72" t="str">
        <f t="shared" si="3"/>
        <v/>
      </c>
      <c r="Y71" s="72"/>
    </row>
    <row r="72">
      <c r="B72" s="8"/>
      <c r="C72" s="8"/>
      <c r="D72" s="8" t="str">
        <f t="shared" si="1"/>
        <v/>
      </c>
      <c r="F72" s="8"/>
      <c r="G72" s="8"/>
      <c r="H72" s="8" t="str">
        <f t="shared" si="2"/>
        <v/>
      </c>
      <c r="V72" s="72"/>
      <c r="W72" s="72"/>
      <c r="X72" s="72" t="str">
        <f t="shared" si="3"/>
        <v/>
      </c>
      <c r="Y72" s="72"/>
    </row>
    <row r="73">
      <c r="B73" s="8"/>
      <c r="C73" s="8"/>
      <c r="D73" s="8" t="str">
        <f t="shared" si="1"/>
        <v/>
      </c>
      <c r="F73" s="8"/>
      <c r="G73" s="8"/>
      <c r="H73" s="8" t="str">
        <f t="shared" si="2"/>
        <v/>
      </c>
      <c r="J73" s="89"/>
      <c r="K73" s="82"/>
      <c r="V73" s="72"/>
      <c r="W73" s="72"/>
      <c r="X73" s="72" t="str">
        <f t="shared" si="3"/>
        <v/>
      </c>
      <c r="Y73" s="72"/>
    </row>
    <row r="74">
      <c r="B74" s="8"/>
      <c r="C74" s="8"/>
      <c r="D74" s="8" t="str">
        <f t="shared" si="1"/>
        <v/>
      </c>
      <c r="F74" s="8"/>
      <c r="G74" s="8"/>
      <c r="H74" s="8" t="str">
        <f t="shared" si="2"/>
        <v/>
      </c>
      <c r="V74" s="72"/>
      <c r="W74" s="72"/>
      <c r="X74" s="72" t="str">
        <f t="shared" si="3"/>
        <v/>
      </c>
      <c r="Y74" s="72"/>
    </row>
    <row r="75">
      <c r="B75" s="8"/>
      <c r="C75" s="8"/>
      <c r="D75" s="8" t="str">
        <f t="shared" si="1"/>
        <v/>
      </c>
      <c r="F75" s="8"/>
      <c r="G75" s="8"/>
      <c r="H75" s="8" t="str">
        <f t="shared" si="2"/>
        <v/>
      </c>
      <c r="J75" s="89"/>
      <c r="K75" s="82"/>
      <c r="V75" s="72"/>
      <c r="W75" s="72"/>
      <c r="X75" s="72" t="str">
        <f t="shared" si="3"/>
        <v/>
      </c>
      <c r="Y75" s="72"/>
    </row>
    <row r="76">
      <c r="B76" s="8"/>
      <c r="C76" s="8"/>
      <c r="D76" s="8" t="str">
        <f t="shared" si="1"/>
        <v/>
      </c>
      <c r="F76" s="8"/>
      <c r="G76" s="8"/>
      <c r="H76" s="8" t="str">
        <f t="shared" si="2"/>
        <v/>
      </c>
      <c r="V76" s="72"/>
      <c r="W76" s="72"/>
      <c r="X76" s="72" t="str">
        <f t="shared" si="3"/>
        <v/>
      </c>
      <c r="Y76" s="72"/>
    </row>
    <row r="77">
      <c r="B77" s="8"/>
      <c r="C77" s="8"/>
      <c r="D77" s="8" t="str">
        <f t="shared" si="1"/>
        <v/>
      </c>
      <c r="F77" s="8"/>
      <c r="G77" s="8"/>
      <c r="H77" s="8" t="str">
        <f t="shared" si="2"/>
        <v/>
      </c>
      <c r="J77" s="89"/>
      <c r="K77" s="82"/>
      <c r="V77" s="72"/>
      <c r="W77" s="72"/>
      <c r="X77" s="72" t="str">
        <f t="shared" si="3"/>
        <v/>
      </c>
      <c r="Y77" s="72"/>
    </row>
    <row r="78">
      <c r="B78" s="8"/>
      <c r="C78" s="8"/>
      <c r="D78" s="8" t="str">
        <f t="shared" si="1"/>
        <v/>
      </c>
      <c r="F78" s="8"/>
      <c r="G78" s="8"/>
      <c r="H78" s="8" t="str">
        <f t="shared" si="2"/>
        <v/>
      </c>
      <c r="V78" s="72"/>
      <c r="W78" s="72"/>
      <c r="X78" s="72" t="str">
        <f t="shared" si="3"/>
        <v/>
      </c>
      <c r="Y78" s="72"/>
    </row>
    <row r="79">
      <c r="B79" s="8"/>
      <c r="C79" s="8"/>
      <c r="D79" s="8" t="str">
        <f t="shared" si="1"/>
        <v/>
      </c>
      <c r="F79" s="8"/>
      <c r="G79" s="8"/>
      <c r="H79" s="8" t="str">
        <f t="shared" si="2"/>
        <v/>
      </c>
      <c r="J79" s="89"/>
      <c r="K79" s="82"/>
      <c r="V79" s="72"/>
      <c r="W79" s="72"/>
      <c r="X79" s="72" t="str">
        <f t="shared" si="3"/>
        <v/>
      </c>
      <c r="Y79" s="72"/>
    </row>
    <row r="80">
      <c r="B80" s="8"/>
      <c r="C80" s="8"/>
      <c r="D80" s="8" t="str">
        <f t="shared" si="1"/>
        <v/>
      </c>
      <c r="F80" s="8"/>
      <c r="G80" s="8"/>
      <c r="H80" s="8" t="str">
        <f t="shared" si="2"/>
        <v/>
      </c>
      <c r="V80" s="72"/>
      <c r="W80" s="72"/>
      <c r="X80" s="72" t="str">
        <f t="shared" si="3"/>
        <v/>
      </c>
      <c r="Y80" s="72"/>
    </row>
    <row r="81">
      <c r="B81" s="8"/>
      <c r="C81" s="8"/>
      <c r="D81" s="8" t="str">
        <f t="shared" si="1"/>
        <v/>
      </c>
      <c r="F81" s="8"/>
      <c r="G81" s="8"/>
      <c r="H81" s="8" t="str">
        <f t="shared" si="2"/>
        <v/>
      </c>
      <c r="J81" s="89"/>
      <c r="K81" s="82"/>
      <c r="V81" s="72"/>
      <c r="W81" s="72"/>
      <c r="X81" s="72" t="str">
        <f t="shared" si="3"/>
        <v/>
      </c>
      <c r="Y81" s="72"/>
    </row>
    <row r="82">
      <c r="B82" s="8"/>
      <c r="C82" s="8"/>
      <c r="D82" s="8" t="str">
        <f t="shared" si="1"/>
        <v/>
      </c>
      <c r="F82" s="8"/>
      <c r="G82" s="8"/>
      <c r="H82" s="8" t="str">
        <f t="shared" si="2"/>
        <v/>
      </c>
      <c r="V82" s="72"/>
      <c r="W82" s="72"/>
      <c r="X82" s="72" t="str">
        <f t="shared" si="3"/>
        <v/>
      </c>
      <c r="Y82" s="72"/>
    </row>
    <row r="83">
      <c r="B83" s="8"/>
      <c r="C83" s="8"/>
      <c r="D83" s="8" t="str">
        <f t="shared" si="1"/>
        <v/>
      </c>
      <c r="F83" s="8"/>
      <c r="G83" s="8"/>
      <c r="H83" s="8" t="str">
        <f t="shared" si="2"/>
        <v/>
      </c>
      <c r="J83" s="89"/>
      <c r="K83" s="82"/>
      <c r="V83" s="72"/>
      <c r="W83" s="72"/>
      <c r="X83" s="72" t="str">
        <f t="shared" si="3"/>
        <v/>
      </c>
      <c r="Y83" s="72"/>
    </row>
    <row r="84">
      <c r="B84" s="8"/>
      <c r="C84" s="8"/>
      <c r="D84" s="8" t="str">
        <f t="shared" si="1"/>
        <v/>
      </c>
      <c r="F84" s="8"/>
      <c r="G84" s="8"/>
      <c r="H84" s="8" t="str">
        <f t="shared" si="2"/>
        <v/>
      </c>
      <c r="V84" s="72"/>
      <c r="W84" s="72"/>
      <c r="X84" s="72" t="str">
        <f t="shared" si="3"/>
        <v/>
      </c>
      <c r="Y84" s="72"/>
    </row>
    <row r="85">
      <c r="B85" s="8"/>
      <c r="C85" s="8"/>
      <c r="D85" s="8" t="str">
        <f t="shared" si="1"/>
        <v/>
      </c>
      <c r="F85" s="8"/>
      <c r="G85" s="8"/>
      <c r="H85" s="8" t="str">
        <f t="shared" si="2"/>
        <v/>
      </c>
      <c r="J85" s="89"/>
      <c r="K85" s="82"/>
      <c r="V85" s="72"/>
      <c r="W85" s="72"/>
      <c r="X85" s="72" t="str">
        <f t="shared" si="3"/>
        <v/>
      </c>
      <c r="Y85" s="72"/>
    </row>
    <row r="86">
      <c r="B86" s="8"/>
      <c r="C86" s="8"/>
      <c r="D86" s="8" t="str">
        <f t="shared" si="1"/>
        <v/>
      </c>
      <c r="F86" s="8"/>
      <c r="G86" s="8"/>
      <c r="H86" s="8" t="str">
        <f t="shared" si="2"/>
        <v/>
      </c>
      <c r="V86" s="72"/>
      <c r="W86" s="72"/>
      <c r="X86" s="72" t="str">
        <f t="shared" si="3"/>
        <v/>
      </c>
      <c r="Y86" s="72"/>
    </row>
    <row r="87">
      <c r="B87" s="8"/>
      <c r="C87" s="8"/>
      <c r="D87" s="8" t="str">
        <f t="shared" si="1"/>
        <v/>
      </c>
      <c r="F87" s="8"/>
      <c r="G87" s="8"/>
      <c r="H87" s="8" t="str">
        <f t="shared" si="2"/>
        <v/>
      </c>
      <c r="J87" s="89"/>
      <c r="K87" s="82"/>
      <c r="V87" s="72"/>
      <c r="W87" s="72"/>
      <c r="X87" s="72" t="str">
        <f t="shared" si="3"/>
        <v/>
      </c>
      <c r="Y87" s="72"/>
    </row>
    <row r="88">
      <c r="B88" s="8"/>
      <c r="C88" s="8"/>
      <c r="D88" s="8" t="str">
        <f t="shared" si="1"/>
        <v/>
      </c>
      <c r="F88" s="8"/>
      <c r="G88" s="8"/>
      <c r="H88" s="8" t="str">
        <f t="shared" si="2"/>
        <v/>
      </c>
      <c r="V88" s="72"/>
      <c r="W88" s="72"/>
      <c r="X88" s="72" t="str">
        <f t="shared" si="3"/>
        <v/>
      </c>
      <c r="Y88" s="72"/>
    </row>
    <row r="89">
      <c r="B89" s="8"/>
      <c r="C89" s="8"/>
      <c r="D89" s="8" t="str">
        <f t="shared" si="1"/>
        <v/>
      </c>
      <c r="F89" s="8"/>
      <c r="G89" s="8"/>
      <c r="H89" s="8" t="str">
        <f t="shared" si="2"/>
        <v/>
      </c>
      <c r="J89" s="89"/>
      <c r="K89" s="82"/>
      <c r="V89" s="72"/>
      <c r="W89" s="72"/>
      <c r="X89" s="72" t="str">
        <f t="shared" si="3"/>
        <v/>
      </c>
      <c r="Y89" s="72"/>
    </row>
    <row r="90">
      <c r="B90" s="8"/>
      <c r="C90" s="8"/>
      <c r="D90" s="8" t="str">
        <f t="shared" si="1"/>
        <v/>
      </c>
      <c r="F90" s="8"/>
      <c r="G90" s="8"/>
      <c r="H90" s="8" t="str">
        <f t="shared" si="2"/>
        <v/>
      </c>
      <c r="V90" s="72"/>
      <c r="W90" s="72"/>
      <c r="X90" s="72" t="str">
        <f t="shared" si="3"/>
        <v/>
      </c>
      <c r="Y90" s="72"/>
    </row>
    <row r="91">
      <c r="B91" s="8"/>
      <c r="C91" s="8"/>
      <c r="D91" s="8" t="str">
        <f t="shared" si="1"/>
        <v/>
      </c>
      <c r="F91" s="8"/>
      <c r="G91" s="8"/>
      <c r="H91" s="8" t="str">
        <f t="shared" si="2"/>
        <v/>
      </c>
      <c r="J91" s="89"/>
      <c r="K91" s="82"/>
      <c r="V91" s="72"/>
      <c r="W91" s="72"/>
      <c r="X91" s="72" t="str">
        <f t="shared" si="3"/>
        <v/>
      </c>
      <c r="Y91" s="72"/>
    </row>
    <row r="92">
      <c r="B92" s="8"/>
      <c r="C92" s="8"/>
      <c r="D92" s="8" t="str">
        <f t="shared" si="1"/>
        <v/>
      </c>
      <c r="F92" s="8"/>
      <c r="G92" s="8"/>
      <c r="H92" s="8" t="str">
        <f t="shared" si="2"/>
        <v/>
      </c>
      <c r="V92" s="72"/>
      <c r="W92" s="72"/>
      <c r="X92" s="72" t="str">
        <f t="shared" si="3"/>
        <v/>
      </c>
      <c r="Y92" s="72"/>
    </row>
    <row r="93">
      <c r="B93" s="8"/>
      <c r="C93" s="8"/>
      <c r="D93" s="8" t="str">
        <f t="shared" si="1"/>
        <v/>
      </c>
      <c r="F93" s="8"/>
      <c r="G93" s="8"/>
      <c r="H93" s="8" t="str">
        <f t="shared" si="2"/>
        <v/>
      </c>
      <c r="J93" s="89"/>
      <c r="K93" s="82"/>
      <c r="V93" s="72"/>
      <c r="W93" s="72"/>
      <c r="X93" s="72" t="str">
        <f t="shared" si="3"/>
        <v/>
      </c>
      <c r="Y93" s="72"/>
    </row>
    <row r="94">
      <c r="B94" s="8"/>
      <c r="C94" s="8"/>
      <c r="D94" s="8" t="str">
        <f t="shared" si="1"/>
        <v/>
      </c>
      <c r="F94" s="8"/>
      <c r="G94" s="8"/>
      <c r="H94" s="8" t="str">
        <f t="shared" si="2"/>
        <v/>
      </c>
      <c r="V94" s="72"/>
      <c r="W94" s="72"/>
      <c r="X94" s="72" t="str">
        <f t="shared" si="3"/>
        <v/>
      </c>
      <c r="Y94" s="72"/>
    </row>
    <row r="95">
      <c r="B95" s="8"/>
      <c r="C95" s="8"/>
      <c r="D95" s="8" t="str">
        <f t="shared" si="1"/>
        <v/>
      </c>
      <c r="F95" s="8"/>
      <c r="G95" s="8"/>
      <c r="H95" s="8" t="str">
        <f t="shared" si="2"/>
        <v/>
      </c>
      <c r="J95" s="89"/>
      <c r="K95" s="82"/>
      <c r="V95" s="72"/>
      <c r="W95" s="72"/>
      <c r="X95" s="72" t="str">
        <f t="shared" si="3"/>
        <v/>
      </c>
      <c r="Y95" s="72"/>
    </row>
    <row r="96">
      <c r="B96" s="8"/>
      <c r="C96" s="8"/>
      <c r="D96" s="8" t="str">
        <f t="shared" si="1"/>
        <v/>
      </c>
      <c r="F96" s="8"/>
      <c r="G96" s="8"/>
      <c r="H96" s="8" t="str">
        <f t="shared" si="2"/>
        <v/>
      </c>
      <c r="V96" s="72"/>
      <c r="W96" s="72"/>
      <c r="X96" s="72" t="str">
        <f t="shared" si="3"/>
        <v/>
      </c>
      <c r="Y96" s="72"/>
    </row>
    <row r="97">
      <c r="B97" s="8"/>
      <c r="C97" s="8"/>
      <c r="D97" s="8" t="str">
        <f t="shared" si="1"/>
        <v/>
      </c>
      <c r="F97" s="8"/>
      <c r="G97" s="8"/>
      <c r="H97" s="8" t="str">
        <f t="shared" si="2"/>
        <v/>
      </c>
      <c r="J97" s="89"/>
      <c r="K97" s="82"/>
      <c r="V97" s="72"/>
      <c r="W97" s="72"/>
      <c r="X97" s="72" t="str">
        <f t="shared" si="3"/>
        <v/>
      </c>
      <c r="Y97" s="72"/>
    </row>
    <row r="98">
      <c r="B98" s="8"/>
      <c r="C98" s="8"/>
      <c r="D98" s="8" t="str">
        <f t="shared" si="1"/>
        <v/>
      </c>
      <c r="F98" s="8"/>
      <c r="G98" s="8"/>
      <c r="H98" s="8" t="str">
        <f t="shared" si="2"/>
        <v/>
      </c>
      <c r="V98" s="72"/>
      <c r="W98" s="72"/>
      <c r="X98" s="72" t="str">
        <f t="shared" si="3"/>
        <v/>
      </c>
      <c r="Y98" s="72"/>
    </row>
    <row r="99">
      <c r="B99" s="8"/>
      <c r="C99" s="8"/>
      <c r="D99" s="8" t="str">
        <f t="shared" si="1"/>
        <v/>
      </c>
      <c r="F99" s="8"/>
      <c r="G99" s="8"/>
      <c r="H99" s="8" t="str">
        <f t="shared" si="2"/>
        <v/>
      </c>
      <c r="J99" s="89"/>
      <c r="K99" s="82"/>
      <c r="V99" s="72"/>
      <c r="W99" s="72"/>
      <c r="X99" s="72" t="str">
        <f t="shared" si="3"/>
        <v/>
      </c>
      <c r="Y99" s="72"/>
    </row>
    <row r="100">
      <c r="B100" s="8"/>
      <c r="C100" s="8"/>
      <c r="D100" s="8" t="str">
        <f t="shared" si="1"/>
        <v/>
      </c>
      <c r="F100" s="8"/>
      <c r="G100" s="8"/>
      <c r="H100" s="8" t="str">
        <f t="shared" si="2"/>
        <v/>
      </c>
      <c r="V100" s="72"/>
      <c r="W100" s="72"/>
      <c r="X100" s="72" t="str">
        <f t="shared" si="3"/>
        <v/>
      </c>
      <c r="Y100" s="72"/>
    </row>
    <row r="101">
      <c r="B101" s="8"/>
      <c r="C101" s="8"/>
      <c r="D101" s="8" t="str">
        <f t="shared" si="1"/>
        <v/>
      </c>
      <c r="F101" s="8"/>
      <c r="G101" s="8"/>
      <c r="H101" s="8" t="str">
        <f t="shared" si="2"/>
        <v/>
      </c>
      <c r="J101" s="89"/>
      <c r="K101" s="82"/>
      <c r="V101" s="72"/>
      <c r="W101" s="72"/>
      <c r="X101" s="72" t="str">
        <f t="shared" si="3"/>
        <v/>
      </c>
      <c r="Y101" s="72"/>
    </row>
    <row r="102">
      <c r="B102" s="8"/>
      <c r="C102" s="8"/>
      <c r="D102" s="8" t="str">
        <f t="shared" si="1"/>
        <v/>
      </c>
      <c r="F102" s="8"/>
      <c r="G102" s="8"/>
      <c r="H102" s="8" t="str">
        <f t="shared" si="2"/>
        <v/>
      </c>
      <c r="V102" s="72"/>
      <c r="W102" s="72"/>
      <c r="X102" s="72" t="str">
        <f t="shared" si="3"/>
        <v/>
      </c>
      <c r="Y102" s="72"/>
    </row>
    <row r="103">
      <c r="B103" s="8"/>
      <c r="C103" s="8"/>
      <c r="D103" s="8" t="str">
        <f t="shared" si="1"/>
        <v/>
      </c>
      <c r="F103" s="8"/>
      <c r="G103" s="8"/>
      <c r="H103" s="8" t="str">
        <f t="shared" si="2"/>
        <v/>
      </c>
      <c r="J103" s="89"/>
      <c r="K103" s="82"/>
      <c r="V103" s="72"/>
      <c r="W103" s="72"/>
      <c r="X103" s="72" t="str">
        <f t="shared" si="3"/>
        <v/>
      </c>
      <c r="Y103" s="72"/>
    </row>
    <row r="104">
      <c r="B104" s="8"/>
      <c r="C104" s="8"/>
      <c r="D104" s="8" t="str">
        <f t="shared" si="1"/>
        <v/>
      </c>
      <c r="F104" s="8"/>
      <c r="G104" s="8"/>
      <c r="H104" s="8" t="str">
        <f t="shared" si="2"/>
        <v/>
      </c>
      <c r="V104" s="72"/>
      <c r="W104" s="72"/>
      <c r="X104" s="72" t="str">
        <f t="shared" si="3"/>
        <v/>
      </c>
      <c r="Y104" s="72"/>
    </row>
    <row r="105">
      <c r="B105" s="8"/>
      <c r="C105" s="8"/>
      <c r="D105" s="8" t="str">
        <f t="shared" si="1"/>
        <v/>
      </c>
      <c r="F105" s="8"/>
      <c r="G105" s="8"/>
      <c r="H105" s="8" t="str">
        <f t="shared" si="2"/>
        <v/>
      </c>
      <c r="J105" s="89"/>
      <c r="K105" s="82"/>
      <c r="V105" s="72"/>
      <c r="W105" s="72"/>
      <c r="X105" s="72" t="str">
        <f t="shared" si="3"/>
        <v/>
      </c>
      <c r="Y105" s="72"/>
    </row>
    <row r="106">
      <c r="B106" s="8"/>
      <c r="C106" s="8"/>
      <c r="D106" s="8" t="str">
        <f t="shared" si="1"/>
        <v/>
      </c>
      <c r="F106" s="8"/>
      <c r="G106" s="8"/>
      <c r="H106" s="8" t="str">
        <f t="shared" si="2"/>
        <v/>
      </c>
      <c r="V106" s="72"/>
      <c r="W106" s="72"/>
      <c r="X106" s="72" t="str">
        <f t="shared" si="3"/>
        <v/>
      </c>
      <c r="Y106" s="72"/>
    </row>
    <row r="107">
      <c r="B107" s="8"/>
      <c r="C107" s="8"/>
      <c r="D107" s="8" t="str">
        <f t="shared" si="1"/>
        <v/>
      </c>
      <c r="F107" s="8"/>
      <c r="G107" s="8"/>
      <c r="H107" s="8" t="str">
        <f t="shared" si="2"/>
        <v/>
      </c>
      <c r="J107" s="89"/>
      <c r="K107" s="82"/>
      <c r="V107" s="72"/>
      <c r="W107" s="72"/>
      <c r="X107" s="72" t="str">
        <f t="shared" si="3"/>
        <v/>
      </c>
      <c r="Y107" s="72"/>
    </row>
    <row r="108">
      <c r="B108" s="8"/>
      <c r="C108" s="8"/>
      <c r="D108" s="8" t="str">
        <f t="shared" si="1"/>
        <v/>
      </c>
      <c r="F108" s="8"/>
      <c r="G108" s="8"/>
      <c r="H108" s="8" t="str">
        <f t="shared" si="2"/>
        <v/>
      </c>
      <c r="V108" s="72"/>
      <c r="W108" s="72"/>
      <c r="X108" s="72" t="str">
        <f t="shared" si="3"/>
        <v/>
      </c>
      <c r="Y108" s="72"/>
    </row>
    <row r="109">
      <c r="B109" s="8"/>
      <c r="C109" s="8"/>
      <c r="D109" s="8" t="str">
        <f t="shared" si="1"/>
        <v/>
      </c>
      <c r="F109" s="8"/>
      <c r="G109" s="8"/>
      <c r="H109" s="8" t="str">
        <f t="shared" si="2"/>
        <v/>
      </c>
      <c r="J109" s="89"/>
      <c r="K109" s="82"/>
      <c r="V109" s="72"/>
      <c r="W109" s="72"/>
      <c r="X109" s="72" t="str">
        <f t="shared" si="3"/>
        <v/>
      </c>
      <c r="Y109" s="72"/>
    </row>
    <row r="110">
      <c r="B110" s="8"/>
      <c r="C110" s="8"/>
      <c r="D110" s="8" t="str">
        <f t="shared" si="1"/>
        <v/>
      </c>
      <c r="F110" s="8"/>
      <c r="G110" s="8"/>
      <c r="H110" s="8" t="str">
        <f t="shared" si="2"/>
        <v/>
      </c>
      <c r="V110" s="72"/>
      <c r="W110" s="72"/>
      <c r="X110" s="72" t="str">
        <f t="shared" si="3"/>
        <v/>
      </c>
      <c r="Y110" s="72"/>
    </row>
    <row r="111">
      <c r="B111" s="8"/>
      <c r="C111" s="8"/>
      <c r="D111" s="8" t="str">
        <f t="shared" si="1"/>
        <v/>
      </c>
      <c r="F111" s="8"/>
      <c r="G111" s="8"/>
      <c r="H111" s="8" t="str">
        <f t="shared" si="2"/>
        <v/>
      </c>
      <c r="J111" s="89"/>
      <c r="K111" s="82"/>
      <c r="V111" s="72"/>
      <c r="W111" s="72"/>
      <c r="X111" s="72" t="str">
        <f t="shared" si="3"/>
        <v/>
      </c>
      <c r="Y111" s="72"/>
    </row>
    <row r="112">
      <c r="B112" s="8"/>
      <c r="C112" s="8"/>
      <c r="D112" s="8" t="str">
        <f t="shared" si="1"/>
        <v/>
      </c>
      <c r="F112" s="8"/>
      <c r="G112" s="8"/>
      <c r="H112" s="8" t="str">
        <f t="shared" si="2"/>
        <v/>
      </c>
      <c r="V112" s="72"/>
      <c r="W112" s="72"/>
      <c r="X112" s="72" t="str">
        <f t="shared" si="3"/>
        <v/>
      </c>
      <c r="Y112" s="72"/>
    </row>
    <row r="113">
      <c r="B113" s="8"/>
      <c r="C113" s="8"/>
      <c r="D113" s="8" t="str">
        <f t="shared" si="1"/>
        <v/>
      </c>
      <c r="F113" s="8"/>
      <c r="G113" s="8"/>
      <c r="H113" s="8" t="str">
        <f t="shared" si="2"/>
        <v/>
      </c>
      <c r="J113" s="89"/>
      <c r="K113" s="82"/>
      <c r="V113" s="72"/>
      <c r="W113" s="72"/>
      <c r="X113" s="72" t="str">
        <f t="shared" si="3"/>
        <v/>
      </c>
      <c r="Y113" s="72"/>
    </row>
    <row r="114">
      <c r="B114" s="8"/>
      <c r="C114" s="8"/>
      <c r="D114" s="8" t="str">
        <f t="shared" si="1"/>
        <v/>
      </c>
      <c r="F114" s="8"/>
      <c r="G114" s="8"/>
      <c r="H114" s="8" t="str">
        <f t="shared" si="2"/>
        <v/>
      </c>
      <c r="V114" s="72"/>
      <c r="W114" s="72"/>
      <c r="X114" s="72" t="str">
        <f t="shared" si="3"/>
        <v/>
      </c>
      <c r="Y114" s="72"/>
    </row>
    <row r="115">
      <c r="B115" s="8"/>
      <c r="C115" s="8"/>
      <c r="D115" s="8" t="str">
        <f t="shared" si="1"/>
        <v/>
      </c>
      <c r="F115" s="8"/>
      <c r="G115" s="8"/>
      <c r="H115" s="8" t="str">
        <f t="shared" si="2"/>
        <v/>
      </c>
      <c r="J115" s="89"/>
      <c r="K115" s="82"/>
      <c r="V115" s="72"/>
      <c r="W115" s="72"/>
      <c r="X115" s="72" t="str">
        <f t="shared" si="3"/>
        <v/>
      </c>
      <c r="Y115" s="72"/>
    </row>
    <row r="116">
      <c r="B116" s="8"/>
      <c r="C116" s="8"/>
      <c r="D116" s="8" t="str">
        <f t="shared" si="1"/>
        <v/>
      </c>
      <c r="F116" s="8"/>
      <c r="G116" s="8"/>
      <c r="H116" s="8" t="str">
        <f t="shared" si="2"/>
        <v/>
      </c>
      <c r="V116" s="72"/>
      <c r="W116" s="72"/>
      <c r="X116" s="72" t="str">
        <f t="shared" si="3"/>
        <v/>
      </c>
      <c r="Y116" s="72"/>
    </row>
    <row r="117">
      <c r="B117" s="8"/>
      <c r="C117" s="8"/>
      <c r="D117" s="8" t="str">
        <f t="shared" si="1"/>
        <v/>
      </c>
      <c r="F117" s="8"/>
      <c r="G117" s="8"/>
      <c r="H117" s="8" t="str">
        <f t="shared" si="2"/>
        <v/>
      </c>
      <c r="J117" s="89"/>
      <c r="K117" s="82"/>
      <c r="V117" s="72"/>
      <c r="W117" s="72"/>
      <c r="X117" s="72" t="str">
        <f t="shared" si="3"/>
        <v/>
      </c>
      <c r="Y117" s="72"/>
    </row>
    <row r="118">
      <c r="B118" s="8"/>
      <c r="C118" s="8"/>
      <c r="D118" s="8" t="str">
        <f t="shared" si="1"/>
        <v/>
      </c>
      <c r="F118" s="8"/>
      <c r="G118" s="8"/>
      <c r="H118" s="8" t="str">
        <f t="shared" si="2"/>
        <v/>
      </c>
      <c r="V118" s="72"/>
      <c r="W118" s="72"/>
      <c r="X118" s="72" t="str">
        <f t="shared" si="3"/>
        <v/>
      </c>
      <c r="Y118" s="72"/>
    </row>
    <row r="119">
      <c r="B119" s="8"/>
      <c r="C119" s="8"/>
      <c r="D119" s="8" t="str">
        <f t="shared" si="1"/>
        <v/>
      </c>
      <c r="F119" s="8"/>
      <c r="G119" s="8"/>
      <c r="H119" s="8" t="str">
        <f t="shared" si="2"/>
        <v/>
      </c>
      <c r="J119" s="89"/>
      <c r="K119" s="82"/>
      <c r="V119" s="72"/>
      <c r="W119" s="72"/>
      <c r="X119" s="72" t="str">
        <f t="shared" si="3"/>
        <v/>
      </c>
      <c r="Y119" s="72"/>
    </row>
    <row r="120">
      <c r="B120" s="8"/>
      <c r="C120" s="8"/>
      <c r="D120" s="8" t="str">
        <f t="shared" si="1"/>
        <v/>
      </c>
      <c r="F120" s="8"/>
      <c r="G120" s="8"/>
      <c r="H120" s="8" t="str">
        <f t="shared" si="2"/>
        <v/>
      </c>
      <c r="V120" s="72"/>
      <c r="W120" s="72"/>
      <c r="X120" s="72" t="str">
        <f t="shared" si="3"/>
        <v/>
      </c>
      <c r="Y120" s="72"/>
    </row>
    <row r="121">
      <c r="B121" s="8"/>
      <c r="C121" s="8"/>
      <c r="D121" s="8" t="str">
        <f t="shared" si="1"/>
        <v/>
      </c>
      <c r="F121" s="8"/>
      <c r="G121" s="8"/>
      <c r="H121" s="8" t="str">
        <f t="shared" si="2"/>
        <v/>
      </c>
      <c r="J121" s="89"/>
      <c r="K121" s="82"/>
      <c r="V121" s="72"/>
      <c r="W121" s="72"/>
      <c r="X121" s="72" t="str">
        <f t="shared" si="3"/>
        <v/>
      </c>
      <c r="Y121" s="72"/>
    </row>
    <row r="122">
      <c r="B122" s="8"/>
      <c r="C122" s="8"/>
      <c r="D122" s="8" t="str">
        <f t="shared" si="1"/>
        <v/>
      </c>
      <c r="F122" s="8"/>
      <c r="G122" s="8"/>
      <c r="H122" s="8" t="str">
        <f t="shared" si="2"/>
        <v/>
      </c>
      <c r="V122" s="72"/>
      <c r="W122" s="72"/>
      <c r="X122" s="72" t="str">
        <f t="shared" si="3"/>
        <v/>
      </c>
      <c r="Y122" s="72"/>
    </row>
    <row r="123">
      <c r="B123" s="8"/>
      <c r="C123" s="8"/>
      <c r="D123" s="8" t="str">
        <f t="shared" si="1"/>
        <v/>
      </c>
      <c r="F123" s="8"/>
      <c r="G123" s="8"/>
      <c r="H123" s="8" t="str">
        <f t="shared" si="2"/>
        <v/>
      </c>
      <c r="J123" s="89"/>
      <c r="K123" s="82"/>
      <c r="V123" s="72"/>
      <c r="W123" s="72"/>
      <c r="X123" s="72" t="str">
        <f t="shared" si="3"/>
        <v/>
      </c>
      <c r="Y123" s="72"/>
    </row>
    <row r="124">
      <c r="B124" s="8"/>
      <c r="C124" s="8"/>
      <c r="D124" s="8" t="str">
        <f t="shared" si="1"/>
        <v/>
      </c>
      <c r="F124" s="8"/>
      <c r="G124" s="8"/>
      <c r="H124" s="8" t="str">
        <f t="shared" si="2"/>
        <v/>
      </c>
      <c r="V124" s="72"/>
      <c r="W124" s="72"/>
      <c r="X124" s="72" t="str">
        <f t="shared" si="3"/>
        <v/>
      </c>
      <c r="Y124" s="72"/>
    </row>
    <row r="125">
      <c r="B125" s="8"/>
      <c r="C125" s="8"/>
      <c r="D125" s="8" t="str">
        <f t="shared" si="1"/>
        <v/>
      </c>
      <c r="F125" s="8"/>
      <c r="G125" s="8"/>
      <c r="H125" s="8" t="str">
        <f t="shared" si="2"/>
        <v/>
      </c>
      <c r="J125" s="89"/>
      <c r="K125" s="82"/>
      <c r="V125" s="72"/>
      <c r="W125" s="72"/>
      <c r="X125" s="72" t="str">
        <f t="shared" si="3"/>
        <v/>
      </c>
      <c r="Y125" s="72"/>
    </row>
    <row r="126">
      <c r="B126" s="8"/>
      <c r="C126" s="8"/>
      <c r="D126" s="8" t="str">
        <f t="shared" si="1"/>
        <v/>
      </c>
      <c r="F126" s="8"/>
      <c r="G126" s="8"/>
      <c r="H126" s="8" t="str">
        <f t="shared" si="2"/>
        <v/>
      </c>
      <c r="V126" s="72"/>
      <c r="W126" s="72"/>
      <c r="X126" s="72" t="str">
        <f t="shared" si="3"/>
        <v/>
      </c>
      <c r="Y126" s="72"/>
    </row>
    <row r="127">
      <c r="B127" s="8"/>
      <c r="C127" s="8"/>
      <c r="D127" s="8" t="str">
        <f t="shared" si="1"/>
        <v/>
      </c>
      <c r="F127" s="8"/>
      <c r="G127" s="8"/>
      <c r="H127" s="8" t="str">
        <f t="shared" si="2"/>
        <v/>
      </c>
      <c r="J127" s="89"/>
      <c r="K127" s="82"/>
      <c r="V127" s="72"/>
      <c r="W127" s="72"/>
      <c r="X127" s="72" t="str">
        <f t="shared" si="3"/>
        <v/>
      </c>
      <c r="Y127" s="72"/>
    </row>
    <row r="128">
      <c r="B128" s="8"/>
      <c r="C128" s="8"/>
      <c r="D128" s="8" t="str">
        <f t="shared" si="1"/>
        <v/>
      </c>
      <c r="F128" s="8"/>
      <c r="G128" s="8"/>
      <c r="H128" s="8" t="str">
        <f t="shared" si="2"/>
        <v/>
      </c>
      <c r="V128" s="72"/>
      <c r="W128" s="72"/>
      <c r="X128" s="72" t="str">
        <f t="shared" si="3"/>
        <v/>
      </c>
      <c r="Y128" s="72"/>
    </row>
    <row r="129">
      <c r="B129" s="8"/>
      <c r="C129" s="8"/>
      <c r="D129" s="8" t="str">
        <f t="shared" si="1"/>
        <v/>
      </c>
      <c r="F129" s="8"/>
      <c r="G129" s="8"/>
      <c r="H129" s="8" t="str">
        <f t="shared" si="2"/>
        <v/>
      </c>
      <c r="J129" s="89"/>
      <c r="K129" s="82"/>
      <c r="V129" s="72"/>
      <c r="W129" s="72"/>
      <c r="X129" s="72" t="str">
        <f t="shared" si="3"/>
        <v/>
      </c>
      <c r="Y129" s="72"/>
    </row>
    <row r="130">
      <c r="B130" s="8"/>
      <c r="C130" s="8"/>
      <c r="D130" s="8" t="str">
        <f t="shared" si="1"/>
        <v/>
      </c>
      <c r="F130" s="8"/>
      <c r="G130" s="8"/>
      <c r="H130" s="8" t="str">
        <f t="shared" si="2"/>
        <v/>
      </c>
      <c r="V130" s="72"/>
      <c r="W130" s="72"/>
      <c r="X130" s="72" t="str">
        <f t="shared" si="3"/>
        <v/>
      </c>
      <c r="Y130" s="72"/>
    </row>
    <row r="131">
      <c r="B131" s="8"/>
      <c r="C131" s="8"/>
      <c r="D131" s="8" t="str">
        <f t="shared" si="1"/>
        <v/>
      </c>
      <c r="F131" s="8"/>
      <c r="G131" s="8"/>
      <c r="H131" s="8" t="str">
        <f t="shared" si="2"/>
        <v/>
      </c>
      <c r="J131" s="89"/>
      <c r="K131" s="82"/>
      <c r="V131" s="72"/>
      <c r="W131" s="72"/>
      <c r="X131" s="72" t="str">
        <f t="shared" si="3"/>
        <v/>
      </c>
      <c r="Y131" s="72"/>
    </row>
    <row r="132">
      <c r="B132" s="8"/>
      <c r="C132" s="8"/>
      <c r="D132" s="8" t="str">
        <f t="shared" si="1"/>
        <v/>
      </c>
      <c r="F132" s="8"/>
      <c r="G132" s="8"/>
      <c r="H132" s="8" t="str">
        <f t="shared" si="2"/>
        <v/>
      </c>
      <c r="V132" s="72"/>
      <c r="W132" s="72"/>
      <c r="X132" s="72" t="str">
        <f t="shared" si="3"/>
        <v/>
      </c>
      <c r="Y132" s="72"/>
    </row>
    <row r="133">
      <c r="B133" s="8"/>
      <c r="C133" s="8"/>
      <c r="D133" s="8" t="str">
        <f t="shared" si="1"/>
        <v/>
      </c>
      <c r="F133" s="8"/>
      <c r="G133" s="8"/>
      <c r="H133" s="8" t="str">
        <f t="shared" si="2"/>
        <v/>
      </c>
      <c r="J133" s="89"/>
      <c r="K133" s="82"/>
      <c r="V133" s="72"/>
      <c r="W133" s="72"/>
      <c r="X133" s="72" t="str">
        <f t="shared" si="3"/>
        <v/>
      </c>
      <c r="Y133" s="72"/>
    </row>
    <row r="134">
      <c r="B134" s="8"/>
      <c r="C134" s="8"/>
      <c r="D134" s="8" t="str">
        <f t="shared" si="1"/>
        <v/>
      </c>
      <c r="F134" s="8"/>
      <c r="G134" s="8"/>
      <c r="H134" s="8" t="str">
        <f t="shared" si="2"/>
        <v/>
      </c>
      <c r="V134" s="72"/>
      <c r="W134" s="72"/>
      <c r="X134" s="72" t="str">
        <f t="shared" si="3"/>
        <v/>
      </c>
      <c r="Y134" s="72"/>
    </row>
    <row r="135">
      <c r="B135" s="8"/>
      <c r="C135" s="8"/>
      <c r="D135" s="8" t="str">
        <f t="shared" si="1"/>
        <v/>
      </c>
      <c r="F135" s="8"/>
      <c r="G135" s="8"/>
      <c r="H135" s="8" t="str">
        <f t="shared" si="2"/>
        <v/>
      </c>
      <c r="J135" s="89"/>
      <c r="K135" s="82"/>
      <c r="V135" s="72"/>
      <c r="W135" s="72"/>
      <c r="X135" s="72" t="str">
        <f t="shared" si="3"/>
        <v/>
      </c>
      <c r="Y135" s="72"/>
    </row>
    <row r="136">
      <c r="B136" s="8"/>
      <c r="C136" s="8"/>
      <c r="D136" s="8" t="str">
        <f t="shared" si="1"/>
        <v/>
      </c>
      <c r="F136" s="8"/>
      <c r="G136" s="8"/>
      <c r="H136" s="8" t="str">
        <f t="shared" si="2"/>
        <v/>
      </c>
      <c r="V136" s="72"/>
      <c r="W136" s="72"/>
      <c r="X136" s="72" t="str">
        <f t="shared" si="3"/>
        <v/>
      </c>
      <c r="Y136" s="72"/>
    </row>
    <row r="137">
      <c r="B137" s="8"/>
      <c r="C137" s="8"/>
      <c r="D137" s="8" t="str">
        <f t="shared" si="1"/>
        <v/>
      </c>
      <c r="F137" s="8"/>
      <c r="G137" s="8"/>
      <c r="H137" s="8" t="str">
        <f t="shared" si="2"/>
        <v/>
      </c>
      <c r="J137" s="89"/>
      <c r="K137" s="82"/>
      <c r="V137" s="72"/>
      <c r="W137" s="72"/>
      <c r="X137" s="72" t="str">
        <f t="shared" si="3"/>
        <v/>
      </c>
      <c r="Y137" s="72"/>
    </row>
    <row r="138">
      <c r="B138" s="8"/>
      <c r="C138" s="8"/>
      <c r="D138" s="8" t="str">
        <f t="shared" si="1"/>
        <v/>
      </c>
      <c r="F138" s="8"/>
      <c r="G138" s="8"/>
      <c r="H138" s="8" t="str">
        <f t="shared" si="2"/>
        <v/>
      </c>
      <c r="V138" s="72"/>
      <c r="W138" s="72"/>
      <c r="X138" s="72" t="str">
        <f t="shared" si="3"/>
        <v/>
      </c>
      <c r="Y138" s="72"/>
    </row>
    <row r="139">
      <c r="B139" s="8"/>
      <c r="C139" s="8"/>
      <c r="D139" s="8" t="str">
        <f t="shared" si="1"/>
        <v/>
      </c>
      <c r="F139" s="8"/>
      <c r="G139" s="8"/>
      <c r="H139" s="8" t="str">
        <f t="shared" si="2"/>
        <v/>
      </c>
      <c r="J139" s="89"/>
      <c r="K139" s="82"/>
      <c r="V139" s="72"/>
      <c r="W139" s="72"/>
      <c r="X139" s="72" t="str">
        <f t="shared" si="3"/>
        <v/>
      </c>
      <c r="Y139" s="72"/>
    </row>
    <row r="140">
      <c r="B140" s="8"/>
      <c r="C140" s="8"/>
      <c r="D140" s="8" t="str">
        <f t="shared" si="1"/>
        <v/>
      </c>
      <c r="F140" s="8"/>
      <c r="G140" s="8"/>
      <c r="H140" s="8" t="str">
        <f t="shared" si="2"/>
        <v/>
      </c>
      <c r="V140" s="72"/>
      <c r="W140" s="72"/>
      <c r="X140" s="72" t="str">
        <f t="shared" si="3"/>
        <v/>
      </c>
      <c r="Y140" s="72"/>
    </row>
    <row r="141">
      <c r="B141" s="8"/>
      <c r="C141" s="8"/>
      <c r="D141" s="8" t="str">
        <f t="shared" si="1"/>
        <v/>
      </c>
      <c r="F141" s="8"/>
      <c r="G141" s="8"/>
      <c r="H141" s="8" t="str">
        <f t="shared" si="2"/>
        <v/>
      </c>
      <c r="J141" s="89"/>
      <c r="K141" s="82"/>
      <c r="V141" s="72"/>
      <c r="W141" s="72"/>
      <c r="X141" s="72" t="str">
        <f t="shared" si="3"/>
        <v/>
      </c>
      <c r="Y141" s="72"/>
    </row>
    <row r="142">
      <c r="B142" s="8"/>
      <c r="C142" s="8"/>
      <c r="D142" s="8" t="str">
        <f t="shared" si="1"/>
        <v/>
      </c>
      <c r="F142" s="8"/>
      <c r="G142" s="8"/>
      <c r="H142" s="8" t="str">
        <f t="shared" si="2"/>
        <v/>
      </c>
      <c r="V142" s="72"/>
      <c r="W142" s="72"/>
      <c r="X142" s="72" t="str">
        <f t="shared" si="3"/>
        <v/>
      </c>
      <c r="Y142" s="72"/>
    </row>
    <row r="143">
      <c r="B143" s="8"/>
      <c r="C143" s="8"/>
      <c r="D143" s="8" t="str">
        <f t="shared" si="1"/>
        <v/>
      </c>
      <c r="F143" s="8"/>
      <c r="G143" s="8"/>
      <c r="H143" s="8" t="str">
        <f t="shared" si="2"/>
        <v/>
      </c>
      <c r="J143" s="89"/>
      <c r="K143" s="82"/>
      <c r="V143" s="72"/>
      <c r="W143" s="72"/>
      <c r="X143" s="72" t="str">
        <f t="shared" si="3"/>
        <v/>
      </c>
      <c r="Y143" s="72"/>
    </row>
    <row r="144">
      <c r="B144" s="8"/>
      <c r="C144" s="8"/>
      <c r="D144" s="8" t="str">
        <f t="shared" si="1"/>
        <v/>
      </c>
      <c r="F144" s="8"/>
      <c r="G144" s="8"/>
      <c r="H144" s="8" t="str">
        <f t="shared" si="2"/>
        <v/>
      </c>
      <c r="V144" s="72"/>
      <c r="W144" s="72"/>
      <c r="X144" s="72" t="str">
        <f t="shared" si="3"/>
        <v/>
      </c>
      <c r="Y144" s="72"/>
    </row>
    <row r="145">
      <c r="B145" s="8"/>
      <c r="C145" s="8"/>
      <c r="D145" s="8" t="str">
        <f t="shared" si="1"/>
        <v/>
      </c>
      <c r="F145" s="8"/>
      <c r="G145" s="8"/>
      <c r="H145" s="8" t="str">
        <f t="shared" si="2"/>
        <v/>
      </c>
      <c r="J145" s="89"/>
      <c r="K145" s="82"/>
      <c r="V145" s="72"/>
      <c r="W145" s="72"/>
      <c r="X145" s="72" t="str">
        <f t="shared" si="3"/>
        <v/>
      </c>
      <c r="Y145" s="72"/>
    </row>
    <row r="146">
      <c r="B146" s="8"/>
      <c r="C146" s="8"/>
      <c r="D146" s="8" t="str">
        <f t="shared" si="1"/>
        <v/>
      </c>
      <c r="F146" s="8"/>
      <c r="G146" s="8"/>
      <c r="H146" s="8" t="str">
        <f t="shared" si="2"/>
        <v/>
      </c>
      <c r="V146" s="72"/>
      <c r="W146" s="72"/>
      <c r="X146" s="72" t="str">
        <f t="shared" si="3"/>
        <v/>
      </c>
      <c r="Y146" s="72"/>
    </row>
    <row r="147">
      <c r="B147" s="8"/>
      <c r="C147" s="8"/>
      <c r="D147" s="8" t="str">
        <f t="shared" si="1"/>
        <v/>
      </c>
      <c r="F147" s="8"/>
      <c r="G147" s="8"/>
      <c r="H147" s="8" t="str">
        <f t="shared" si="2"/>
        <v/>
      </c>
      <c r="J147" s="89"/>
      <c r="K147" s="82"/>
      <c r="V147" s="72"/>
      <c r="W147" s="72"/>
      <c r="X147" s="72" t="str">
        <f t="shared" si="3"/>
        <v/>
      </c>
      <c r="Y147" s="72"/>
    </row>
    <row r="148">
      <c r="B148" s="8"/>
      <c r="C148" s="8"/>
      <c r="D148" s="8" t="str">
        <f t="shared" si="1"/>
        <v/>
      </c>
      <c r="F148" s="8"/>
      <c r="G148" s="8"/>
      <c r="H148" s="8" t="str">
        <f t="shared" si="2"/>
        <v/>
      </c>
      <c r="V148" s="72"/>
      <c r="W148" s="72"/>
      <c r="X148" s="72" t="str">
        <f t="shared" si="3"/>
        <v/>
      </c>
      <c r="Y148" s="72"/>
    </row>
    <row r="149">
      <c r="B149" s="8"/>
      <c r="C149" s="8"/>
      <c r="D149" s="8" t="str">
        <f t="shared" si="1"/>
        <v/>
      </c>
      <c r="F149" s="8"/>
      <c r="G149" s="8"/>
      <c r="H149" s="8" t="str">
        <f t="shared" si="2"/>
        <v/>
      </c>
      <c r="J149" s="89"/>
      <c r="K149" s="82"/>
      <c r="V149" s="72"/>
      <c r="W149" s="72"/>
      <c r="X149" s="72" t="str">
        <f t="shared" si="3"/>
        <v/>
      </c>
      <c r="Y149" s="72"/>
    </row>
    <row r="150">
      <c r="B150" s="8"/>
      <c r="C150" s="8"/>
      <c r="D150" s="8" t="str">
        <f t="shared" si="1"/>
        <v/>
      </c>
      <c r="F150" s="8"/>
      <c r="G150" s="8"/>
      <c r="H150" s="8" t="str">
        <f t="shared" si="2"/>
        <v/>
      </c>
      <c r="V150" s="72"/>
      <c r="W150" s="72"/>
      <c r="X150" s="72" t="str">
        <f t="shared" si="3"/>
        <v/>
      </c>
      <c r="Y150" s="72"/>
    </row>
    <row r="151">
      <c r="B151" s="8"/>
      <c r="C151" s="8"/>
      <c r="D151" s="8" t="str">
        <f t="shared" si="1"/>
        <v/>
      </c>
      <c r="F151" s="8"/>
      <c r="G151" s="8"/>
      <c r="H151" s="8" t="str">
        <f t="shared" si="2"/>
        <v/>
      </c>
      <c r="J151" s="89"/>
      <c r="K151" s="82"/>
      <c r="V151" s="72"/>
      <c r="W151" s="72"/>
      <c r="X151" s="72" t="str">
        <f t="shared" si="3"/>
        <v/>
      </c>
      <c r="Y151" s="72"/>
    </row>
    <row r="152">
      <c r="B152" s="8"/>
      <c r="C152" s="8"/>
      <c r="D152" s="8" t="str">
        <f t="shared" si="1"/>
        <v/>
      </c>
      <c r="F152" s="8"/>
      <c r="G152" s="8"/>
      <c r="H152" s="8" t="str">
        <f t="shared" si="2"/>
        <v/>
      </c>
      <c r="V152" s="72"/>
      <c r="W152" s="72"/>
      <c r="X152" s="72" t="str">
        <f t="shared" si="3"/>
        <v/>
      </c>
      <c r="Y152" s="72"/>
    </row>
    <row r="153">
      <c r="B153" s="8"/>
      <c r="C153" s="8"/>
      <c r="D153" s="8" t="str">
        <f t="shared" si="1"/>
        <v/>
      </c>
      <c r="F153" s="8"/>
      <c r="G153" s="8"/>
      <c r="H153" s="8" t="str">
        <f t="shared" si="2"/>
        <v/>
      </c>
      <c r="J153" s="89"/>
      <c r="K153" s="82"/>
      <c r="V153" s="72"/>
      <c r="W153" s="72"/>
      <c r="X153" s="72" t="str">
        <f t="shared" si="3"/>
        <v/>
      </c>
      <c r="Y153" s="72"/>
    </row>
    <row r="154">
      <c r="B154" s="8"/>
      <c r="C154" s="8"/>
      <c r="D154" s="8" t="str">
        <f t="shared" si="1"/>
        <v/>
      </c>
      <c r="F154" s="8"/>
      <c r="G154" s="8"/>
      <c r="H154" s="8" t="str">
        <f t="shared" si="2"/>
        <v/>
      </c>
      <c r="V154" s="72"/>
      <c r="W154" s="72"/>
      <c r="X154" s="72" t="str">
        <f t="shared" si="3"/>
        <v/>
      </c>
      <c r="Y154" s="72"/>
    </row>
    <row r="155">
      <c r="B155" s="8"/>
      <c r="C155" s="8"/>
      <c r="D155" s="8" t="str">
        <f t="shared" si="1"/>
        <v/>
      </c>
      <c r="F155" s="8"/>
      <c r="G155" s="8"/>
      <c r="H155" s="8" t="str">
        <f t="shared" si="2"/>
        <v/>
      </c>
      <c r="J155" s="89"/>
      <c r="K155" s="82"/>
      <c r="V155" s="72"/>
      <c r="W155" s="72"/>
      <c r="X155" s="72" t="str">
        <f t="shared" si="3"/>
        <v/>
      </c>
      <c r="Y155" s="72"/>
    </row>
    <row r="156">
      <c r="B156" s="8"/>
      <c r="C156" s="8"/>
      <c r="D156" s="8" t="str">
        <f t="shared" si="1"/>
        <v/>
      </c>
      <c r="F156" s="8"/>
      <c r="G156" s="8"/>
      <c r="H156" s="8" t="str">
        <f t="shared" si="2"/>
        <v/>
      </c>
      <c r="V156" s="72"/>
      <c r="W156" s="72"/>
      <c r="X156" s="72" t="str">
        <f t="shared" si="3"/>
        <v/>
      </c>
      <c r="Y156" s="72"/>
    </row>
    <row r="157">
      <c r="B157" s="8"/>
      <c r="C157" s="8"/>
      <c r="D157" s="8" t="str">
        <f t="shared" si="1"/>
        <v/>
      </c>
      <c r="F157" s="8"/>
      <c r="G157" s="8"/>
      <c r="H157" s="8" t="str">
        <f t="shared" si="2"/>
        <v/>
      </c>
      <c r="J157" s="89"/>
      <c r="K157" s="82"/>
      <c r="V157" s="72"/>
      <c r="W157" s="72"/>
      <c r="X157" s="72" t="str">
        <f t="shared" si="3"/>
        <v/>
      </c>
      <c r="Y157" s="72"/>
    </row>
    <row r="158">
      <c r="B158" s="8"/>
      <c r="C158" s="8"/>
      <c r="D158" s="8" t="str">
        <f t="shared" si="1"/>
        <v/>
      </c>
      <c r="F158" s="8"/>
      <c r="G158" s="8"/>
      <c r="H158" s="8" t="str">
        <f t="shared" si="2"/>
        <v/>
      </c>
      <c r="V158" s="72"/>
      <c r="W158" s="72"/>
      <c r="X158" s="72" t="str">
        <f t="shared" si="3"/>
        <v/>
      </c>
      <c r="Y158" s="72"/>
    </row>
    <row r="159">
      <c r="B159" s="8"/>
      <c r="C159" s="8"/>
      <c r="D159" s="8" t="str">
        <f t="shared" si="1"/>
        <v/>
      </c>
      <c r="F159" s="8"/>
      <c r="G159" s="8"/>
      <c r="H159" s="8" t="str">
        <f t="shared" si="2"/>
        <v/>
      </c>
      <c r="J159" s="89"/>
      <c r="K159" s="82"/>
      <c r="V159" s="72"/>
      <c r="W159" s="72"/>
      <c r="X159" s="72" t="str">
        <f t="shared" si="3"/>
        <v/>
      </c>
      <c r="Y159" s="72"/>
    </row>
    <row r="160">
      <c r="B160" s="8"/>
      <c r="C160" s="8"/>
      <c r="D160" s="8" t="str">
        <f t="shared" si="1"/>
        <v/>
      </c>
      <c r="F160" s="8"/>
      <c r="G160" s="8"/>
      <c r="H160" s="8" t="str">
        <f t="shared" si="2"/>
        <v/>
      </c>
      <c r="V160" s="72"/>
      <c r="W160" s="72"/>
      <c r="X160" s="72" t="str">
        <f t="shared" si="3"/>
        <v/>
      </c>
      <c r="Y160" s="72"/>
    </row>
    <row r="161">
      <c r="B161" s="8"/>
      <c r="C161" s="8"/>
      <c r="D161" s="8" t="str">
        <f t="shared" si="1"/>
        <v/>
      </c>
      <c r="F161" s="8"/>
      <c r="G161" s="8"/>
      <c r="H161" s="8" t="str">
        <f t="shared" si="2"/>
        <v/>
      </c>
      <c r="J161" s="89"/>
      <c r="K161" s="82"/>
      <c r="V161" s="72"/>
      <c r="W161" s="72"/>
      <c r="X161" s="72" t="str">
        <f t="shared" si="3"/>
        <v/>
      </c>
      <c r="Y161" s="72"/>
    </row>
    <row r="162">
      <c r="B162" s="8"/>
      <c r="C162" s="8"/>
      <c r="D162" s="8" t="str">
        <f t="shared" si="1"/>
        <v/>
      </c>
      <c r="F162" s="8"/>
      <c r="G162" s="8"/>
      <c r="H162" s="8" t="str">
        <f t="shared" si="2"/>
        <v/>
      </c>
      <c r="V162" s="72"/>
      <c r="W162" s="72"/>
      <c r="X162" s="72" t="str">
        <f t="shared" si="3"/>
        <v/>
      </c>
      <c r="Y162" s="72"/>
    </row>
    <row r="163">
      <c r="B163" s="8"/>
      <c r="C163" s="8"/>
      <c r="D163" s="8" t="str">
        <f t="shared" si="1"/>
        <v/>
      </c>
      <c r="F163" s="8"/>
      <c r="G163" s="8"/>
      <c r="H163" s="8" t="str">
        <f t="shared" si="2"/>
        <v/>
      </c>
      <c r="J163" s="89"/>
      <c r="K163" s="82"/>
      <c r="V163" s="72"/>
      <c r="W163" s="72"/>
      <c r="X163" s="72" t="str">
        <f t="shared" si="3"/>
        <v/>
      </c>
      <c r="Y163" s="72"/>
    </row>
    <row r="164">
      <c r="B164" s="8"/>
      <c r="C164" s="8"/>
      <c r="D164" s="8" t="str">
        <f t="shared" si="1"/>
        <v/>
      </c>
      <c r="F164" s="8"/>
      <c r="G164" s="8"/>
      <c r="H164" s="8" t="str">
        <f t="shared" si="2"/>
        <v/>
      </c>
      <c r="V164" s="72"/>
      <c r="W164" s="72"/>
      <c r="X164" s="72" t="str">
        <f t="shared" si="3"/>
        <v/>
      </c>
      <c r="Y164" s="72"/>
    </row>
    <row r="165">
      <c r="B165" s="8"/>
      <c r="C165" s="8"/>
      <c r="D165" s="8" t="str">
        <f t="shared" si="1"/>
        <v/>
      </c>
      <c r="F165" s="8"/>
      <c r="G165" s="8"/>
      <c r="H165" s="8" t="str">
        <f t="shared" si="2"/>
        <v/>
      </c>
      <c r="J165" s="89"/>
      <c r="K165" s="82"/>
      <c r="V165" s="72"/>
      <c r="W165" s="72"/>
      <c r="X165" s="72" t="str">
        <f t="shared" si="3"/>
        <v/>
      </c>
      <c r="Y165" s="72"/>
    </row>
    <row r="166">
      <c r="B166" s="8"/>
      <c r="C166" s="8"/>
      <c r="D166" s="8" t="str">
        <f t="shared" si="1"/>
        <v/>
      </c>
      <c r="F166" s="8"/>
      <c r="G166" s="8"/>
      <c r="H166" s="8" t="str">
        <f t="shared" si="2"/>
        <v/>
      </c>
      <c r="V166" s="72"/>
      <c r="W166" s="72"/>
      <c r="X166" s="72" t="str">
        <f t="shared" si="3"/>
        <v/>
      </c>
      <c r="Y166" s="72"/>
    </row>
    <row r="167">
      <c r="B167" s="8"/>
      <c r="C167" s="8"/>
      <c r="D167" s="8" t="str">
        <f t="shared" si="1"/>
        <v/>
      </c>
      <c r="F167" s="8"/>
      <c r="G167" s="8"/>
      <c r="H167" s="8" t="str">
        <f t="shared" si="2"/>
        <v/>
      </c>
      <c r="J167" s="89"/>
      <c r="K167" s="82"/>
      <c r="V167" s="72"/>
      <c r="W167" s="72"/>
      <c r="X167" s="72" t="str">
        <f t="shared" si="3"/>
        <v/>
      </c>
      <c r="Y167" s="72"/>
    </row>
    <row r="168">
      <c r="B168" s="8"/>
      <c r="C168" s="8"/>
      <c r="D168" s="8" t="str">
        <f t="shared" si="1"/>
        <v/>
      </c>
      <c r="F168" s="8"/>
      <c r="G168" s="8"/>
      <c r="H168" s="8" t="str">
        <f t="shared" si="2"/>
        <v/>
      </c>
      <c r="V168" s="72"/>
      <c r="W168" s="72"/>
      <c r="X168" s="72" t="str">
        <f t="shared" si="3"/>
        <v/>
      </c>
      <c r="Y168" s="72"/>
    </row>
    <row r="169">
      <c r="B169" s="8"/>
      <c r="C169" s="8"/>
      <c r="D169" s="8" t="str">
        <f t="shared" si="1"/>
        <v/>
      </c>
      <c r="F169" s="8"/>
      <c r="G169" s="8"/>
      <c r="H169" s="8" t="str">
        <f t="shared" si="2"/>
        <v/>
      </c>
      <c r="J169" s="89"/>
      <c r="K169" s="82"/>
      <c r="V169" s="72"/>
      <c r="W169" s="72"/>
      <c r="X169" s="72" t="str">
        <f t="shared" si="3"/>
        <v/>
      </c>
      <c r="Y169" s="72"/>
    </row>
    <row r="170">
      <c r="B170" s="8"/>
      <c r="C170" s="8"/>
      <c r="D170" s="8" t="str">
        <f t="shared" si="1"/>
        <v/>
      </c>
      <c r="F170" s="8"/>
      <c r="G170" s="8"/>
      <c r="H170" s="8" t="str">
        <f t="shared" si="2"/>
        <v/>
      </c>
      <c r="V170" s="72"/>
      <c r="W170" s="72"/>
      <c r="X170" s="72" t="str">
        <f t="shared" si="3"/>
        <v/>
      </c>
      <c r="Y170" s="72"/>
    </row>
    <row r="171">
      <c r="B171" s="8"/>
      <c r="C171" s="8"/>
      <c r="D171" s="8" t="str">
        <f t="shared" si="1"/>
        <v/>
      </c>
      <c r="F171" s="8"/>
      <c r="G171" s="8"/>
      <c r="H171" s="8" t="str">
        <f t="shared" si="2"/>
        <v/>
      </c>
      <c r="J171" s="89"/>
      <c r="K171" s="82"/>
      <c r="V171" s="72"/>
      <c r="W171" s="72"/>
      <c r="X171" s="72" t="str">
        <f t="shared" si="3"/>
        <v/>
      </c>
      <c r="Y171" s="72"/>
    </row>
    <row r="172">
      <c r="B172" s="8"/>
      <c r="C172" s="8"/>
      <c r="D172" s="8" t="str">
        <f t="shared" si="1"/>
        <v/>
      </c>
      <c r="F172" s="8"/>
      <c r="G172" s="8"/>
      <c r="H172" s="8" t="str">
        <f t="shared" si="2"/>
        <v/>
      </c>
      <c r="V172" s="72"/>
      <c r="W172" s="72"/>
      <c r="X172" s="72" t="str">
        <f t="shared" si="3"/>
        <v/>
      </c>
      <c r="Y172" s="72"/>
    </row>
    <row r="173">
      <c r="B173" s="8"/>
      <c r="C173" s="8"/>
      <c r="D173" s="8" t="str">
        <f t="shared" si="1"/>
        <v/>
      </c>
      <c r="F173" s="8"/>
      <c r="G173" s="8"/>
      <c r="H173" s="8" t="str">
        <f t="shared" si="2"/>
        <v/>
      </c>
      <c r="J173" s="89"/>
      <c r="K173" s="82"/>
      <c r="V173" s="72"/>
      <c r="W173" s="72"/>
      <c r="X173" s="72" t="str">
        <f t="shared" si="3"/>
        <v/>
      </c>
      <c r="Y173" s="72"/>
    </row>
    <row r="174">
      <c r="B174" s="8"/>
      <c r="C174" s="8"/>
      <c r="D174" s="8" t="str">
        <f t="shared" si="1"/>
        <v/>
      </c>
      <c r="F174" s="8"/>
      <c r="G174" s="8"/>
      <c r="H174" s="8" t="str">
        <f t="shared" si="2"/>
        <v/>
      </c>
      <c r="V174" s="72"/>
      <c r="W174" s="72"/>
      <c r="X174" s="72" t="str">
        <f t="shared" si="3"/>
        <v/>
      </c>
      <c r="Y174" s="72"/>
    </row>
    <row r="175">
      <c r="B175" s="8"/>
      <c r="C175" s="8"/>
      <c r="D175" s="8" t="str">
        <f t="shared" si="1"/>
        <v/>
      </c>
      <c r="F175" s="8"/>
      <c r="G175" s="8"/>
      <c r="H175" s="8" t="str">
        <f t="shared" si="2"/>
        <v/>
      </c>
      <c r="J175" s="89"/>
      <c r="K175" s="82"/>
      <c r="V175" s="72"/>
      <c r="W175" s="72"/>
      <c r="X175" s="72" t="str">
        <f t="shared" si="3"/>
        <v/>
      </c>
      <c r="Y175" s="72"/>
    </row>
    <row r="176">
      <c r="B176" s="8"/>
      <c r="C176" s="8"/>
      <c r="D176" s="8" t="str">
        <f t="shared" si="1"/>
        <v/>
      </c>
      <c r="F176" s="8"/>
      <c r="G176" s="8"/>
      <c r="H176" s="8" t="str">
        <f t="shared" si="2"/>
        <v/>
      </c>
      <c r="V176" s="72"/>
      <c r="W176" s="72"/>
      <c r="X176" s="72" t="str">
        <f t="shared" si="3"/>
        <v/>
      </c>
      <c r="Y176" s="72"/>
    </row>
    <row r="177">
      <c r="B177" s="8"/>
      <c r="C177" s="8"/>
      <c r="D177" s="8" t="str">
        <f t="shared" si="1"/>
        <v/>
      </c>
      <c r="F177" s="8"/>
      <c r="G177" s="8"/>
      <c r="H177" s="8" t="str">
        <f t="shared" si="2"/>
        <v/>
      </c>
      <c r="J177" s="89"/>
      <c r="K177" s="82"/>
      <c r="V177" s="72"/>
      <c r="W177" s="72"/>
      <c r="X177" s="72" t="str">
        <f t="shared" si="3"/>
        <v/>
      </c>
      <c r="Y177" s="72"/>
    </row>
    <row r="178">
      <c r="B178" s="8"/>
      <c r="C178" s="8"/>
      <c r="D178" s="8" t="str">
        <f t="shared" si="1"/>
        <v/>
      </c>
      <c r="F178" s="8"/>
      <c r="G178" s="8"/>
      <c r="H178" s="8" t="str">
        <f t="shared" si="2"/>
        <v/>
      </c>
      <c r="V178" s="72"/>
      <c r="W178" s="72"/>
      <c r="X178" s="72" t="str">
        <f t="shared" si="3"/>
        <v/>
      </c>
      <c r="Y178" s="72"/>
    </row>
    <row r="179">
      <c r="B179" s="8"/>
      <c r="C179" s="8"/>
      <c r="D179" s="8" t="str">
        <f t="shared" si="1"/>
        <v/>
      </c>
      <c r="F179" s="8"/>
      <c r="G179" s="8"/>
      <c r="H179" s="8" t="str">
        <f t="shared" si="2"/>
        <v/>
      </c>
      <c r="J179" s="89"/>
      <c r="K179" s="82"/>
      <c r="V179" s="72"/>
      <c r="W179" s="72"/>
      <c r="X179" s="72" t="str">
        <f t="shared" si="3"/>
        <v/>
      </c>
      <c r="Y179" s="72"/>
    </row>
    <row r="180">
      <c r="B180" s="8"/>
      <c r="C180" s="8"/>
      <c r="D180" s="8" t="str">
        <f t="shared" si="1"/>
        <v/>
      </c>
      <c r="F180" s="8"/>
      <c r="G180" s="8"/>
      <c r="H180" s="8" t="str">
        <f t="shared" si="2"/>
        <v/>
      </c>
      <c r="V180" s="72"/>
      <c r="W180" s="72"/>
      <c r="X180" s="72" t="str">
        <f t="shared" si="3"/>
        <v/>
      </c>
      <c r="Y180" s="72"/>
    </row>
    <row r="181">
      <c r="B181" s="8"/>
      <c r="C181" s="8"/>
      <c r="D181" s="8" t="str">
        <f t="shared" si="1"/>
        <v/>
      </c>
      <c r="F181" s="8"/>
      <c r="G181" s="8"/>
      <c r="H181" s="8" t="str">
        <f t="shared" si="2"/>
        <v/>
      </c>
      <c r="J181" s="89"/>
      <c r="K181" s="82"/>
      <c r="V181" s="72"/>
      <c r="W181" s="72"/>
      <c r="X181" s="72" t="str">
        <f t="shared" si="3"/>
        <v/>
      </c>
      <c r="Y181" s="72"/>
    </row>
    <row r="182">
      <c r="B182" s="8"/>
      <c r="C182" s="8"/>
      <c r="D182" s="8" t="str">
        <f t="shared" si="1"/>
        <v/>
      </c>
      <c r="F182" s="8"/>
      <c r="G182" s="8"/>
      <c r="H182" s="8" t="str">
        <f t="shared" si="2"/>
        <v/>
      </c>
      <c r="V182" s="72"/>
      <c r="W182" s="72"/>
      <c r="X182" s="72" t="str">
        <f t="shared" si="3"/>
        <v/>
      </c>
      <c r="Y182" s="72"/>
    </row>
    <row r="183">
      <c r="B183" s="8"/>
      <c r="C183" s="8"/>
      <c r="D183" s="8" t="str">
        <f t="shared" si="1"/>
        <v/>
      </c>
      <c r="F183" s="8"/>
      <c r="G183" s="8"/>
      <c r="H183" s="8" t="str">
        <f t="shared" si="2"/>
        <v/>
      </c>
      <c r="J183" s="89"/>
      <c r="K183" s="82"/>
      <c r="V183" s="72"/>
      <c r="W183" s="72"/>
      <c r="X183" s="72" t="str">
        <f t="shared" si="3"/>
        <v/>
      </c>
      <c r="Y183" s="72"/>
    </row>
    <row r="184">
      <c r="B184" s="8"/>
      <c r="C184" s="8"/>
      <c r="D184" s="8" t="str">
        <f t="shared" si="1"/>
        <v/>
      </c>
      <c r="F184" s="8"/>
      <c r="G184" s="8"/>
      <c r="H184" s="8" t="str">
        <f t="shared" si="2"/>
        <v/>
      </c>
      <c r="V184" s="72"/>
      <c r="W184" s="72"/>
      <c r="X184" s="72" t="str">
        <f t="shared" si="3"/>
        <v/>
      </c>
      <c r="Y184" s="72"/>
    </row>
    <row r="185">
      <c r="B185" s="8"/>
      <c r="C185" s="8"/>
      <c r="D185" s="8" t="str">
        <f t="shared" si="1"/>
        <v/>
      </c>
      <c r="F185" s="8"/>
      <c r="G185" s="8"/>
      <c r="H185" s="8" t="str">
        <f t="shared" si="2"/>
        <v/>
      </c>
      <c r="J185" s="89"/>
      <c r="K185" s="82"/>
      <c r="V185" s="72"/>
      <c r="W185" s="72"/>
      <c r="X185" s="72" t="str">
        <f t="shared" si="3"/>
        <v/>
      </c>
      <c r="Y185" s="72"/>
    </row>
    <row r="186">
      <c r="B186" s="8"/>
      <c r="C186" s="8"/>
      <c r="D186" s="8" t="str">
        <f t="shared" si="1"/>
        <v/>
      </c>
      <c r="F186" s="8"/>
      <c r="G186" s="8"/>
      <c r="H186" s="8" t="str">
        <f t="shared" si="2"/>
        <v/>
      </c>
      <c r="V186" s="72"/>
      <c r="W186" s="72"/>
      <c r="X186" s="72" t="str">
        <f t="shared" si="3"/>
        <v/>
      </c>
      <c r="Y186" s="72"/>
    </row>
    <row r="187">
      <c r="B187" s="8"/>
      <c r="C187" s="8"/>
      <c r="D187" s="8" t="str">
        <f t="shared" si="1"/>
        <v/>
      </c>
      <c r="F187" s="8"/>
      <c r="G187" s="8"/>
      <c r="H187" s="8" t="str">
        <f t="shared" si="2"/>
        <v/>
      </c>
      <c r="J187" s="89"/>
      <c r="K187" s="82"/>
      <c r="V187" s="72"/>
      <c r="W187" s="72"/>
      <c r="X187" s="72" t="str">
        <f t="shared" si="3"/>
        <v/>
      </c>
      <c r="Y187" s="72"/>
    </row>
    <row r="188">
      <c r="B188" s="8"/>
      <c r="C188" s="8"/>
      <c r="D188" s="8" t="str">
        <f t="shared" si="1"/>
        <v/>
      </c>
      <c r="F188" s="8"/>
      <c r="G188" s="8"/>
      <c r="H188" s="8" t="str">
        <f t="shared" si="2"/>
        <v/>
      </c>
      <c r="V188" s="72"/>
      <c r="W188" s="72"/>
      <c r="X188" s="72" t="str">
        <f t="shared" si="3"/>
        <v/>
      </c>
      <c r="Y188" s="72"/>
    </row>
    <row r="189">
      <c r="B189" s="8"/>
      <c r="C189" s="8"/>
      <c r="D189" s="8" t="str">
        <f t="shared" si="1"/>
        <v/>
      </c>
      <c r="F189" s="8"/>
      <c r="G189" s="8"/>
      <c r="H189" s="8" t="str">
        <f t="shared" si="2"/>
        <v/>
      </c>
      <c r="J189" s="89"/>
      <c r="K189" s="82"/>
      <c r="V189" s="72"/>
      <c r="W189" s="72"/>
      <c r="X189" s="72" t="str">
        <f t="shared" si="3"/>
        <v/>
      </c>
      <c r="Y189" s="72"/>
    </row>
    <row r="190">
      <c r="B190" s="8"/>
      <c r="C190" s="8"/>
      <c r="D190" s="8" t="str">
        <f t="shared" si="1"/>
        <v/>
      </c>
      <c r="F190" s="8"/>
      <c r="G190" s="8"/>
      <c r="H190" s="8" t="str">
        <f t="shared" si="2"/>
        <v/>
      </c>
      <c r="V190" s="72"/>
      <c r="W190" s="72"/>
      <c r="X190" s="72" t="str">
        <f t="shared" si="3"/>
        <v/>
      </c>
      <c r="Y190" s="72"/>
    </row>
    <row r="191">
      <c r="B191" s="8"/>
      <c r="C191" s="8"/>
      <c r="D191" s="8" t="str">
        <f t="shared" si="1"/>
        <v/>
      </c>
      <c r="F191" s="8"/>
      <c r="G191" s="8"/>
      <c r="H191" s="8" t="str">
        <f t="shared" si="2"/>
        <v/>
      </c>
      <c r="J191" s="89"/>
      <c r="K191" s="82"/>
      <c r="V191" s="72"/>
      <c r="W191" s="72"/>
      <c r="X191" s="72" t="str">
        <f t="shared" si="3"/>
        <v/>
      </c>
      <c r="Y191" s="72"/>
    </row>
    <row r="192">
      <c r="B192" s="8"/>
      <c r="C192" s="8"/>
      <c r="D192" s="8" t="str">
        <f t="shared" si="1"/>
        <v/>
      </c>
      <c r="F192" s="8"/>
      <c r="G192" s="8"/>
      <c r="H192" s="8" t="str">
        <f t="shared" si="2"/>
        <v/>
      </c>
      <c r="V192" s="72"/>
      <c r="W192" s="72"/>
      <c r="X192" s="72" t="str">
        <f t="shared" si="3"/>
        <v/>
      </c>
      <c r="Y192" s="72"/>
    </row>
    <row r="193">
      <c r="B193" s="8"/>
      <c r="C193" s="8"/>
      <c r="D193" s="8" t="str">
        <f t="shared" si="1"/>
        <v/>
      </c>
      <c r="F193" s="8"/>
      <c r="G193" s="8"/>
      <c r="H193" s="8" t="str">
        <f t="shared" si="2"/>
        <v/>
      </c>
      <c r="J193" s="89"/>
      <c r="K193" s="82"/>
      <c r="V193" s="72"/>
      <c r="W193" s="72"/>
      <c r="X193" s="72" t="str">
        <f t="shared" si="3"/>
        <v/>
      </c>
      <c r="Y193" s="72"/>
    </row>
    <row r="194">
      <c r="B194" s="8"/>
      <c r="C194" s="8"/>
      <c r="D194" s="8" t="str">
        <f t="shared" si="1"/>
        <v/>
      </c>
      <c r="F194" s="8"/>
      <c r="G194" s="8"/>
      <c r="H194" s="8" t="str">
        <f t="shared" si="2"/>
        <v/>
      </c>
      <c r="V194" s="72"/>
      <c r="W194" s="72"/>
      <c r="X194" s="72" t="str">
        <f t="shared" si="3"/>
        <v/>
      </c>
      <c r="Y194" s="72"/>
    </row>
    <row r="195">
      <c r="B195" s="8"/>
      <c r="C195" s="8"/>
      <c r="D195" s="8" t="str">
        <f t="shared" si="1"/>
        <v/>
      </c>
      <c r="F195" s="8"/>
      <c r="G195" s="8"/>
      <c r="H195" s="8" t="str">
        <f t="shared" si="2"/>
        <v/>
      </c>
      <c r="J195" s="89"/>
      <c r="K195" s="82"/>
      <c r="V195" s="72"/>
      <c r="W195" s="72"/>
      <c r="X195" s="72" t="str">
        <f t="shared" si="3"/>
        <v/>
      </c>
      <c r="Y195" s="72"/>
    </row>
    <row r="196">
      <c r="B196" s="8"/>
      <c r="C196" s="8"/>
      <c r="D196" s="8" t="str">
        <f t="shared" si="1"/>
        <v/>
      </c>
      <c r="F196" s="8"/>
      <c r="G196" s="8"/>
      <c r="H196" s="8" t="str">
        <f t="shared" si="2"/>
        <v/>
      </c>
      <c r="V196" s="72"/>
      <c r="W196" s="72"/>
      <c r="X196" s="72" t="str">
        <f t="shared" si="3"/>
        <v/>
      </c>
      <c r="Y196" s="72"/>
    </row>
    <row r="197">
      <c r="B197" s="8"/>
      <c r="C197" s="8"/>
      <c r="D197" s="8" t="str">
        <f t="shared" si="1"/>
        <v/>
      </c>
      <c r="F197" s="8"/>
      <c r="G197" s="8"/>
      <c r="H197" s="8" t="str">
        <f t="shared" si="2"/>
        <v/>
      </c>
      <c r="J197" s="89"/>
      <c r="K197" s="82"/>
      <c r="V197" s="72"/>
      <c r="W197" s="72"/>
      <c r="X197" s="72" t="str">
        <f t="shared" si="3"/>
        <v/>
      </c>
      <c r="Y197" s="72"/>
    </row>
    <row r="198">
      <c r="B198" s="8"/>
      <c r="C198" s="8"/>
      <c r="D198" s="8" t="str">
        <f t="shared" si="1"/>
        <v/>
      </c>
      <c r="F198" s="8"/>
      <c r="G198" s="8"/>
      <c r="H198" s="8" t="str">
        <f t="shared" si="2"/>
        <v/>
      </c>
      <c r="V198" s="72"/>
      <c r="W198" s="72"/>
      <c r="X198" s="72" t="str">
        <f t="shared" si="3"/>
        <v/>
      </c>
      <c r="Y198" s="72"/>
    </row>
    <row r="199">
      <c r="B199" s="8"/>
      <c r="C199" s="8"/>
      <c r="D199" s="8" t="str">
        <f t="shared" si="1"/>
        <v/>
      </c>
      <c r="F199" s="8"/>
      <c r="G199" s="8"/>
      <c r="H199" s="8" t="str">
        <f t="shared" si="2"/>
        <v/>
      </c>
      <c r="J199" s="89"/>
      <c r="K199" s="82"/>
      <c r="V199" s="72"/>
      <c r="W199" s="72"/>
      <c r="X199" s="72" t="str">
        <f t="shared" si="3"/>
        <v/>
      </c>
      <c r="Y199" s="72"/>
    </row>
    <row r="200">
      <c r="B200" s="8"/>
      <c r="C200" s="8"/>
      <c r="D200" s="8" t="str">
        <f t="shared" si="1"/>
        <v/>
      </c>
      <c r="F200" s="8"/>
      <c r="G200" s="8"/>
      <c r="H200" s="8" t="str">
        <f t="shared" si="2"/>
        <v/>
      </c>
      <c r="V200" s="72"/>
      <c r="W200" s="72"/>
      <c r="X200" s="72" t="str">
        <f t="shared" si="3"/>
        <v/>
      </c>
      <c r="Y200" s="72"/>
    </row>
    <row r="201">
      <c r="B201" s="8"/>
      <c r="C201" s="8"/>
      <c r="D201" s="8" t="str">
        <f t="shared" si="1"/>
        <v/>
      </c>
      <c r="F201" s="8"/>
      <c r="G201" s="8"/>
      <c r="H201" s="8" t="str">
        <f t="shared" si="2"/>
        <v/>
      </c>
      <c r="J201" s="89"/>
      <c r="K201" s="82"/>
      <c r="V201" s="72"/>
      <c r="W201" s="72"/>
      <c r="X201" s="72" t="str">
        <f t="shared" si="3"/>
        <v/>
      </c>
      <c r="Y201" s="72"/>
    </row>
    <row r="202">
      <c r="B202" s="8"/>
      <c r="C202" s="8"/>
      <c r="D202" s="8" t="str">
        <f t="shared" si="1"/>
        <v/>
      </c>
      <c r="F202" s="8"/>
      <c r="G202" s="8"/>
      <c r="H202" s="8" t="str">
        <f t="shared" si="2"/>
        <v/>
      </c>
      <c r="V202" s="72"/>
      <c r="W202" s="72"/>
      <c r="X202" s="72" t="str">
        <f t="shared" si="3"/>
        <v/>
      </c>
      <c r="Y202" s="72"/>
    </row>
    <row r="203">
      <c r="B203" s="8"/>
      <c r="C203" s="8"/>
      <c r="D203" s="8" t="str">
        <f t="shared" si="1"/>
        <v/>
      </c>
      <c r="F203" s="8"/>
      <c r="G203" s="8"/>
      <c r="H203" s="8" t="str">
        <f t="shared" si="2"/>
        <v/>
      </c>
      <c r="J203" s="89"/>
      <c r="K203" s="82"/>
      <c r="V203" s="72"/>
      <c r="W203" s="72"/>
      <c r="X203" s="72" t="str">
        <f t="shared" si="3"/>
        <v/>
      </c>
      <c r="Y203" s="72"/>
    </row>
    <row r="204">
      <c r="B204" s="8"/>
      <c r="C204" s="8"/>
      <c r="D204" s="8" t="str">
        <f t="shared" si="1"/>
        <v/>
      </c>
      <c r="F204" s="8"/>
      <c r="G204" s="8"/>
      <c r="H204" s="8" t="str">
        <f t="shared" si="2"/>
        <v/>
      </c>
      <c r="V204" s="72"/>
      <c r="W204" s="72"/>
      <c r="X204" s="72" t="str">
        <f t="shared" si="3"/>
        <v/>
      </c>
      <c r="Y204" s="72"/>
    </row>
    <row r="205">
      <c r="B205" s="8"/>
      <c r="C205" s="8"/>
      <c r="D205" s="8" t="str">
        <f t="shared" si="1"/>
        <v/>
      </c>
      <c r="F205" s="8"/>
      <c r="G205" s="8"/>
      <c r="H205" s="8" t="str">
        <f t="shared" si="2"/>
        <v/>
      </c>
      <c r="J205" s="89"/>
      <c r="K205" s="82"/>
      <c r="V205" s="72"/>
      <c r="W205" s="72"/>
      <c r="X205" s="72" t="str">
        <f t="shared" si="3"/>
        <v/>
      </c>
      <c r="Y205" s="72"/>
    </row>
    <row r="206">
      <c r="B206" s="8"/>
      <c r="C206" s="8"/>
      <c r="D206" s="8" t="str">
        <f t="shared" si="1"/>
        <v/>
      </c>
      <c r="F206" s="8"/>
      <c r="G206" s="8"/>
      <c r="H206" s="8" t="str">
        <f t="shared" si="2"/>
        <v/>
      </c>
      <c r="V206" s="72"/>
      <c r="W206" s="72"/>
      <c r="X206" s="72" t="str">
        <f t="shared" si="3"/>
        <v/>
      </c>
      <c r="Y206" s="72"/>
    </row>
    <row r="207">
      <c r="B207" s="8"/>
      <c r="C207" s="8"/>
      <c r="D207" s="8" t="str">
        <f t="shared" si="1"/>
        <v/>
      </c>
      <c r="F207" s="8"/>
      <c r="G207" s="8"/>
      <c r="H207" s="8" t="str">
        <f t="shared" si="2"/>
        <v/>
      </c>
      <c r="J207" s="89"/>
      <c r="K207" s="82"/>
      <c r="V207" s="72"/>
      <c r="W207" s="72"/>
      <c r="X207" s="72" t="str">
        <f t="shared" si="3"/>
        <v/>
      </c>
      <c r="Y207" s="72"/>
    </row>
    <row r="208">
      <c r="B208" s="8"/>
      <c r="C208" s="8"/>
      <c r="D208" s="8" t="str">
        <f t="shared" si="1"/>
        <v/>
      </c>
      <c r="F208" s="8"/>
      <c r="G208" s="8"/>
      <c r="H208" s="8" t="str">
        <f t="shared" si="2"/>
        <v/>
      </c>
      <c r="V208" s="72"/>
      <c r="W208" s="72"/>
      <c r="X208" s="72" t="str">
        <f t="shared" si="3"/>
        <v/>
      </c>
      <c r="Y208" s="72"/>
    </row>
    <row r="209">
      <c r="B209" s="8"/>
      <c r="C209" s="8"/>
      <c r="D209" s="8" t="str">
        <f t="shared" si="1"/>
        <v/>
      </c>
      <c r="F209" s="8"/>
      <c r="G209" s="8"/>
      <c r="H209" s="8" t="str">
        <f t="shared" si="2"/>
        <v/>
      </c>
      <c r="J209" s="89"/>
      <c r="K209" s="82"/>
      <c r="V209" s="72"/>
      <c r="W209" s="72"/>
      <c r="X209" s="72" t="str">
        <f t="shared" si="3"/>
        <v/>
      </c>
      <c r="Y209" s="72"/>
    </row>
    <row r="210">
      <c r="B210" s="8"/>
      <c r="C210" s="8"/>
      <c r="D210" s="8" t="str">
        <f t="shared" si="1"/>
        <v/>
      </c>
      <c r="F210" s="8"/>
      <c r="G210" s="8"/>
      <c r="H210" s="8" t="str">
        <f t="shared" si="2"/>
        <v/>
      </c>
      <c r="V210" s="72"/>
      <c r="W210" s="72"/>
      <c r="X210" s="72" t="str">
        <f t="shared" si="3"/>
        <v/>
      </c>
      <c r="Y210" s="72"/>
    </row>
    <row r="211">
      <c r="B211" s="8"/>
      <c r="C211" s="8"/>
      <c r="D211" s="8" t="str">
        <f t="shared" si="1"/>
        <v/>
      </c>
      <c r="F211" s="8"/>
      <c r="G211" s="8"/>
      <c r="H211" s="8" t="str">
        <f t="shared" si="2"/>
        <v/>
      </c>
      <c r="J211" s="89"/>
      <c r="K211" s="82"/>
      <c r="V211" s="72"/>
      <c r="W211" s="72"/>
      <c r="X211" s="72" t="str">
        <f t="shared" si="3"/>
        <v/>
      </c>
      <c r="Y211" s="72"/>
    </row>
    <row r="212">
      <c r="B212" s="8"/>
      <c r="C212" s="8"/>
      <c r="D212" s="8" t="str">
        <f t="shared" si="1"/>
        <v/>
      </c>
      <c r="F212" s="8"/>
      <c r="G212" s="8"/>
      <c r="H212" s="8" t="str">
        <f t="shared" si="2"/>
        <v/>
      </c>
      <c r="V212" s="72"/>
      <c r="W212" s="72"/>
      <c r="X212" s="72" t="str">
        <f t="shared" si="3"/>
        <v/>
      </c>
      <c r="Y212" s="72"/>
    </row>
    <row r="213">
      <c r="B213" s="8"/>
      <c r="C213" s="8"/>
      <c r="D213" s="8" t="str">
        <f t="shared" si="1"/>
        <v/>
      </c>
      <c r="F213" s="8"/>
      <c r="G213" s="8"/>
      <c r="H213" s="8" t="str">
        <f t="shared" si="2"/>
        <v/>
      </c>
      <c r="J213" s="89"/>
      <c r="K213" s="82"/>
      <c r="V213" s="72"/>
      <c r="W213" s="72"/>
      <c r="X213" s="72" t="str">
        <f t="shared" si="3"/>
        <v/>
      </c>
      <c r="Y213" s="72"/>
    </row>
    <row r="214">
      <c r="B214" s="8"/>
      <c r="C214" s="8"/>
      <c r="D214" s="8" t="str">
        <f t="shared" si="1"/>
        <v/>
      </c>
      <c r="F214" s="8"/>
      <c r="G214" s="8"/>
      <c r="H214" s="8" t="str">
        <f t="shared" si="2"/>
        <v/>
      </c>
      <c r="V214" s="72"/>
      <c r="W214" s="72"/>
      <c r="X214" s="72" t="str">
        <f t="shared" si="3"/>
        <v/>
      </c>
      <c r="Y214" s="72"/>
    </row>
    <row r="215">
      <c r="B215" s="8"/>
      <c r="C215" s="8"/>
      <c r="D215" s="8" t="str">
        <f t="shared" si="1"/>
        <v/>
      </c>
      <c r="F215" s="8"/>
      <c r="G215" s="8"/>
      <c r="H215" s="8" t="str">
        <f t="shared" si="2"/>
        <v/>
      </c>
      <c r="J215" s="89"/>
      <c r="K215" s="82"/>
      <c r="V215" s="72"/>
      <c r="W215" s="72"/>
      <c r="X215" s="72" t="str">
        <f t="shared" si="3"/>
        <v/>
      </c>
      <c r="Y215" s="72"/>
    </row>
    <row r="216">
      <c r="B216" s="8"/>
      <c r="C216" s="8"/>
      <c r="D216" s="8" t="str">
        <f t="shared" si="1"/>
        <v/>
      </c>
      <c r="F216" s="8"/>
      <c r="G216" s="8"/>
      <c r="H216" s="8" t="str">
        <f t="shared" si="2"/>
        <v/>
      </c>
      <c r="V216" s="72"/>
      <c r="W216" s="72"/>
      <c r="X216" s="72" t="str">
        <f t="shared" si="3"/>
        <v/>
      </c>
      <c r="Y216" s="72"/>
    </row>
    <row r="217">
      <c r="B217" s="8"/>
      <c r="C217" s="8"/>
      <c r="D217" s="8" t="str">
        <f t="shared" si="1"/>
        <v/>
      </c>
      <c r="F217" s="8"/>
      <c r="G217" s="8"/>
      <c r="H217" s="8" t="str">
        <f t="shared" si="2"/>
        <v/>
      </c>
      <c r="J217" s="89"/>
      <c r="K217" s="82"/>
      <c r="V217" s="72"/>
      <c r="W217" s="72"/>
      <c r="X217" s="72" t="str">
        <f t="shared" si="3"/>
        <v/>
      </c>
      <c r="Y217" s="72"/>
    </row>
    <row r="218">
      <c r="B218" s="8"/>
      <c r="C218" s="8"/>
      <c r="D218" s="8" t="str">
        <f t="shared" si="1"/>
        <v/>
      </c>
      <c r="F218" s="8"/>
      <c r="G218" s="8"/>
      <c r="H218" s="8" t="str">
        <f t="shared" si="2"/>
        <v/>
      </c>
      <c r="V218" s="72"/>
      <c r="W218" s="72"/>
      <c r="X218" s="72" t="str">
        <f t="shared" si="3"/>
        <v/>
      </c>
      <c r="Y218" s="72"/>
    </row>
    <row r="219">
      <c r="B219" s="8"/>
      <c r="C219" s="8"/>
      <c r="D219" s="8" t="str">
        <f t="shared" si="1"/>
        <v/>
      </c>
      <c r="F219" s="8"/>
      <c r="G219" s="8"/>
      <c r="H219" s="8" t="str">
        <f t="shared" si="2"/>
        <v/>
      </c>
      <c r="J219" s="89"/>
      <c r="K219" s="82"/>
      <c r="V219" s="72"/>
      <c r="W219" s="72"/>
      <c r="X219" s="72" t="str">
        <f t="shared" si="3"/>
        <v/>
      </c>
      <c r="Y219" s="72"/>
    </row>
    <row r="220">
      <c r="B220" s="8"/>
      <c r="C220" s="8"/>
      <c r="D220" s="8" t="str">
        <f t="shared" si="1"/>
        <v/>
      </c>
      <c r="F220" s="8"/>
      <c r="G220" s="8"/>
      <c r="H220" s="8" t="str">
        <f t="shared" si="2"/>
        <v/>
      </c>
      <c r="V220" s="72"/>
      <c r="W220" s="72"/>
      <c r="X220" s="72" t="str">
        <f t="shared" si="3"/>
        <v/>
      </c>
      <c r="Y220" s="72"/>
    </row>
    <row r="221">
      <c r="B221" s="8"/>
      <c r="C221" s="8"/>
      <c r="D221" s="8" t="str">
        <f t="shared" si="1"/>
        <v/>
      </c>
      <c r="F221" s="8"/>
      <c r="G221" s="8"/>
      <c r="H221" s="8" t="str">
        <f t="shared" si="2"/>
        <v/>
      </c>
      <c r="J221" s="89"/>
      <c r="K221" s="82"/>
      <c r="V221" s="72"/>
      <c r="W221" s="72"/>
      <c r="X221" s="72" t="str">
        <f t="shared" si="3"/>
        <v/>
      </c>
      <c r="Y221" s="72"/>
    </row>
    <row r="222">
      <c r="B222" s="8"/>
      <c r="C222" s="8"/>
      <c r="D222" s="8" t="str">
        <f t="shared" si="1"/>
        <v/>
      </c>
      <c r="F222" s="8"/>
      <c r="G222" s="8"/>
      <c r="H222" s="8" t="str">
        <f t="shared" si="2"/>
        <v/>
      </c>
      <c r="V222" s="72"/>
      <c r="W222" s="72"/>
      <c r="X222" s="72" t="str">
        <f t="shared" si="3"/>
        <v/>
      </c>
      <c r="Y222" s="72"/>
    </row>
    <row r="223">
      <c r="B223" s="8"/>
      <c r="C223" s="8"/>
      <c r="D223" s="8" t="str">
        <f t="shared" si="1"/>
        <v/>
      </c>
      <c r="F223" s="8"/>
      <c r="G223" s="8"/>
      <c r="H223" s="8" t="str">
        <f t="shared" si="2"/>
        <v/>
      </c>
      <c r="J223" s="89"/>
      <c r="K223" s="82"/>
      <c r="V223" s="72"/>
      <c r="W223" s="72"/>
      <c r="X223" s="72" t="str">
        <f t="shared" si="3"/>
        <v/>
      </c>
      <c r="Y223" s="72"/>
    </row>
    <row r="224">
      <c r="B224" s="8"/>
      <c r="C224" s="8"/>
      <c r="D224" s="8" t="str">
        <f t="shared" si="1"/>
        <v/>
      </c>
      <c r="F224" s="8"/>
      <c r="G224" s="8"/>
      <c r="H224" s="8" t="str">
        <f t="shared" si="2"/>
        <v/>
      </c>
      <c r="V224" s="72"/>
      <c r="W224" s="72"/>
      <c r="X224" s="72" t="str">
        <f t="shared" si="3"/>
        <v/>
      </c>
      <c r="Y224" s="72"/>
    </row>
    <row r="225">
      <c r="B225" s="8"/>
      <c r="C225" s="8"/>
      <c r="D225" s="8" t="str">
        <f t="shared" si="1"/>
        <v/>
      </c>
      <c r="F225" s="8"/>
      <c r="G225" s="8"/>
      <c r="H225" s="8" t="str">
        <f t="shared" si="2"/>
        <v/>
      </c>
      <c r="J225" s="89"/>
      <c r="K225" s="82"/>
      <c r="V225" s="72"/>
      <c r="W225" s="72"/>
      <c r="X225" s="72" t="str">
        <f t="shared" si="3"/>
        <v/>
      </c>
      <c r="Y225" s="72"/>
    </row>
    <row r="226">
      <c r="B226" s="8"/>
      <c r="C226" s="8"/>
      <c r="D226" s="8" t="str">
        <f t="shared" si="1"/>
        <v/>
      </c>
      <c r="F226" s="8"/>
      <c r="G226" s="8"/>
      <c r="H226" s="8" t="str">
        <f t="shared" si="2"/>
        <v/>
      </c>
      <c r="V226" s="72"/>
      <c r="W226" s="72"/>
      <c r="X226" s="72" t="str">
        <f t="shared" si="3"/>
        <v/>
      </c>
      <c r="Y226" s="72"/>
    </row>
    <row r="227">
      <c r="B227" s="8"/>
      <c r="C227" s="8"/>
      <c r="D227" s="8" t="str">
        <f t="shared" si="1"/>
        <v/>
      </c>
      <c r="F227" s="8"/>
      <c r="G227" s="8"/>
      <c r="H227" s="8" t="str">
        <f t="shared" si="2"/>
        <v/>
      </c>
      <c r="J227" s="89"/>
      <c r="K227" s="82"/>
      <c r="V227" s="72"/>
      <c r="W227" s="72"/>
      <c r="X227" s="72" t="str">
        <f t="shared" si="3"/>
        <v/>
      </c>
      <c r="Y227" s="72"/>
    </row>
    <row r="228">
      <c r="B228" s="8"/>
      <c r="C228" s="8"/>
      <c r="D228" s="8" t="str">
        <f t="shared" si="1"/>
        <v/>
      </c>
      <c r="F228" s="8"/>
      <c r="G228" s="8"/>
      <c r="H228" s="8" t="str">
        <f t="shared" si="2"/>
        <v/>
      </c>
      <c r="V228" s="72"/>
      <c r="W228" s="72"/>
      <c r="X228" s="72" t="str">
        <f t="shared" si="3"/>
        <v/>
      </c>
      <c r="Y228" s="72"/>
    </row>
    <row r="229">
      <c r="B229" s="8"/>
      <c r="C229" s="8"/>
      <c r="D229" s="8" t="str">
        <f t="shared" si="1"/>
        <v/>
      </c>
      <c r="F229" s="8"/>
      <c r="G229" s="8"/>
      <c r="H229" s="8" t="str">
        <f t="shared" si="2"/>
        <v/>
      </c>
      <c r="J229" s="89"/>
      <c r="K229" s="82"/>
      <c r="V229" s="72"/>
      <c r="W229" s="72"/>
      <c r="X229" s="72" t="str">
        <f t="shared" si="3"/>
        <v/>
      </c>
      <c r="Y229" s="72"/>
    </row>
    <row r="230">
      <c r="B230" s="8"/>
      <c r="C230" s="8"/>
      <c r="D230" s="8" t="str">
        <f t="shared" si="1"/>
        <v/>
      </c>
      <c r="F230" s="8"/>
      <c r="G230" s="8"/>
      <c r="H230" s="8" t="str">
        <f t="shared" si="2"/>
        <v/>
      </c>
      <c r="V230" s="72"/>
      <c r="W230" s="72"/>
      <c r="X230" s="72" t="str">
        <f t="shared" si="3"/>
        <v/>
      </c>
      <c r="Y230" s="72"/>
    </row>
    <row r="231">
      <c r="B231" s="8"/>
      <c r="C231" s="8"/>
      <c r="D231" s="8" t="str">
        <f t="shared" si="1"/>
        <v/>
      </c>
      <c r="F231" s="8"/>
      <c r="G231" s="8"/>
      <c r="H231" s="8" t="str">
        <f t="shared" si="2"/>
        <v/>
      </c>
      <c r="J231" s="89"/>
      <c r="K231" s="82"/>
      <c r="V231" s="72"/>
      <c r="W231" s="72"/>
      <c r="X231" s="72" t="str">
        <f t="shared" si="3"/>
        <v/>
      </c>
      <c r="Y231" s="72"/>
    </row>
    <row r="232">
      <c r="B232" s="8"/>
      <c r="C232" s="8"/>
      <c r="D232" s="8" t="str">
        <f t="shared" si="1"/>
        <v/>
      </c>
      <c r="F232" s="8"/>
      <c r="G232" s="8"/>
      <c r="H232" s="8" t="str">
        <f t="shared" si="2"/>
        <v/>
      </c>
      <c r="V232" s="72"/>
      <c r="W232" s="72"/>
      <c r="X232" s="72" t="str">
        <f t="shared" si="3"/>
        <v/>
      </c>
      <c r="Y232" s="72"/>
    </row>
    <row r="233">
      <c r="B233" s="8"/>
      <c r="C233" s="8"/>
      <c r="D233" s="8" t="str">
        <f t="shared" si="1"/>
        <v/>
      </c>
      <c r="F233" s="8"/>
      <c r="G233" s="8"/>
      <c r="H233" s="8" t="str">
        <f t="shared" si="2"/>
        <v/>
      </c>
      <c r="J233" s="89"/>
      <c r="K233" s="82"/>
      <c r="V233" s="72"/>
      <c r="W233" s="72"/>
      <c r="X233" s="72" t="str">
        <f t="shared" si="3"/>
        <v/>
      </c>
      <c r="Y233" s="72"/>
    </row>
    <row r="234">
      <c r="B234" s="8"/>
      <c r="C234" s="8"/>
      <c r="D234" s="8" t="str">
        <f t="shared" si="1"/>
        <v/>
      </c>
      <c r="F234" s="8"/>
      <c r="G234" s="8"/>
      <c r="H234" s="8" t="str">
        <f t="shared" si="2"/>
        <v/>
      </c>
      <c r="V234" s="72"/>
      <c r="W234" s="72"/>
      <c r="X234" s="72" t="str">
        <f t="shared" si="3"/>
        <v/>
      </c>
      <c r="Y234" s="72"/>
    </row>
    <row r="235">
      <c r="B235" s="8"/>
      <c r="C235" s="8"/>
      <c r="D235" s="8" t="str">
        <f t="shared" si="1"/>
        <v/>
      </c>
      <c r="F235" s="8"/>
      <c r="G235" s="8"/>
      <c r="H235" s="8" t="str">
        <f t="shared" si="2"/>
        <v/>
      </c>
      <c r="J235" s="89"/>
      <c r="K235" s="82"/>
      <c r="V235" s="72"/>
      <c r="W235" s="72"/>
      <c r="X235" s="72" t="str">
        <f t="shared" si="3"/>
        <v/>
      </c>
      <c r="Y235" s="72"/>
    </row>
    <row r="236">
      <c r="B236" s="8"/>
      <c r="C236" s="8"/>
      <c r="D236" s="8" t="str">
        <f t="shared" si="1"/>
        <v/>
      </c>
      <c r="F236" s="8"/>
      <c r="G236" s="8"/>
      <c r="H236" s="8" t="str">
        <f t="shared" si="2"/>
        <v/>
      </c>
      <c r="V236" s="72"/>
      <c r="W236" s="72"/>
      <c r="X236" s="72" t="str">
        <f t="shared" si="3"/>
        <v/>
      </c>
      <c r="Y236" s="72"/>
    </row>
    <row r="237">
      <c r="B237" s="8"/>
      <c r="C237" s="8"/>
      <c r="D237" s="8" t="str">
        <f t="shared" si="1"/>
        <v/>
      </c>
      <c r="F237" s="8"/>
      <c r="G237" s="8"/>
      <c r="H237" s="8" t="str">
        <f t="shared" si="2"/>
        <v/>
      </c>
      <c r="J237" s="89"/>
      <c r="K237" s="82"/>
      <c r="V237" s="72"/>
      <c r="W237" s="72"/>
      <c r="X237" s="72" t="str">
        <f t="shared" si="3"/>
        <v/>
      </c>
      <c r="Y237" s="72"/>
    </row>
    <row r="238">
      <c r="B238" s="8"/>
      <c r="C238" s="8"/>
      <c r="D238" s="8" t="str">
        <f t="shared" si="1"/>
        <v/>
      </c>
      <c r="F238" s="8"/>
      <c r="G238" s="8"/>
      <c r="H238" s="8" t="str">
        <f t="shared" si="2"/>
        <v/>
      </c>
      <c r="V238" s="72"/>
      <c r="W238" s="72"/>
      <c r="X238" s="72" t="str">
        <f t="shared" si="3"/>
        <v/>
      </c>
      <c r="Y238" s="72"/>
    </row>
    <row r="239">
      <c r="B239" s="8"/>
      <c r="C239" s="8"/>
      <c r="D239" s="8" t="str">
        <f t="shared" si="1"/>
        <v/>
      </c>
      <c r="F239" s="8"/>
      <c r="G239" s="8"/>
      <c r="H239" s="8" t="str">
        <f t="shared" si="2"/>
        <v/>
      </c>
      <c r="J239" s="89"/>
      <c r="K239" s="82"/>
      <c r="V239" s="72"/>
      <c r="W239" s="72"/>
      <c r="X239" s="72" t="str">
        <f t="shared" si="3"/>
        <v/>
      </c>
      <c r="Y239" s="72"/>
    </row>
    <row r="240">
      <c r="B240" s="8"/>
      <c r="C240" s="8"/>
      <c r="D240" s="8" t="str">
        <f t="shared" si="1"/>
        <v/>
      </c>
      <c r="F240" s="8"/>
      <c r="G240" s="8"/>
      <c r="H240" s="8" t="str">
        <f t="shared" si="2"/>
        <v/>
      </c>
      <c r="V240" s="72"/>
      <c r="W240" s="72"/>
      <c r="X240" s="72" t="str">
        <f t="shared" si="3"/>
        <v/>
      </c>
      <c r="Y240" s="72"/>
    </row>
    <row r="241">
      <c r="B241" s="8"/>
      <c r="C241" s="8"/>
      <c r="D241" s="8" t="str">
        <f t="shared" si="1"/>
        <v/>
      </c>
      <c r="F241" s="8"/>
      <c r="G241" s="8"/>
      <c r="H241" s="8" t="str">
        <f t="shared" si="2"/>
        <v/>
      </c>
      <c r="J241" s="89"/>
      <c r="K241" s="82"/>
      <c r="V241" s="72"/>
      <c r="W241" s="72"/>
      <c r="X241" s="72" t="str">
        <f t="shared" si="3"/>
        <v/>
      </c>
      <c r="Y241" s="72"/>
    </row>
    <row r="242">
      <c r="B242" s="8"/>
      <c r="C242" s="8"/>
      <c r="D242" s="8" t="str">
        <f t="shared" si="1"/>
        <v/>
      </c>
      <c r="F242" s="8"/>
      <c r="G242" s="8"/>
      <c r="H242" s="8" t="str">
        <f t="shared" si="2"/>
        <v/>
      </c>
      <c r="V242" s="72"/>
      <c r="W242" s="72"/>
      <c r="X242" s="72" t="str">
        <f t="shared" si="3"/>
        <v/>
      </c>
      <c r="Y242" s="72"/>
    </row>
    <row r="243">
      <c r="B243" s="8"/>
      <c r="C243" s="8"/>
      <c r="D243" s="8" t="str">
        <f t="shared" si="1"/>
        <v/>
      </c>
      <c r="F243" s="8"/>
      <c r="G243" s="8"/>
      <c r="H243" s="8" t="str">
        <f t="shared" si="2"/>
        <v/>
      </c>
      <c r="J243" s="89"/>
      <c r="K243" s="82"/>
      <c r="V243" s="72"/>
      <c r="W243" s="72"/>
      <c r="X243" s="72" t="str">
        <f t="shared" si="3"/>
        <v/>
      </c>
      <c r="Y243" s="72"/>
    </row>
    <row r="244">
      <c r="B244" s="8"/>
      <c r="C244" s="8"/>
      <c r="D244" s="8" t="str">
        <f t="shared" si="1"/>
        <v/>
      </c>
      <c r="F244" s="8"/>
      <c r="G244" s="8"/>
      <c r="H244" s="8" t="str">
        <f t="shared" si="2"/>
        <v/>
      </c>
      <c r="V244" s="72"/>
      <c r="W244" s="72"/>
      <c r="X244" s="72" t="str">
        <f t="shared" si="3"/>
        <v/>
      </c>
      <c r="Y244" s="72"/>
    </row>
    <row r="245">
      <c r="B245" s="8"/>
      <c r="C245" s="8"/>
      <c r="D245" s="8" t="str">
        <f t="shared" si="1"/>
        <v/>
      </c>
      <c r="F245" s="8"/>
      <c r="G245" s="8"/>
      <c r="H245" s="8" t="str">
        <f t="shared" si="2"/>
        <v/>
      </c>
      <c r="J245" s="89"/>
      <c r="K245" s="82"/>
      <c r="V245" s="72"/>
      <c r="W245" s="72"/>
      <c r="X245" s="72" t="str">
        <f t="shared" si="3"/>
        <v/>
      </c>
      <c r="Y245" s="72"/>
    </row>
    <row r="246">
      <c r="B246" s="8"/>
      <c r="C246" s="8"/>
      <c r="D246" s="8" t="str">
        <f t="shared" si="1"/>
        <v/>
      </c>
      <c r="F246" s="8"/>
      <c r="G246" s="8"/>
      <c r="H246" s="8" t="str">
        <f t="shared" si="2"/>
        <v/>
      </c>
      <c r="V246" s="72"/>
      <c r="W246" s="72"/>
      <c r="X246" s="72" t="str">
        <f t="shared" si="3"/>
        <v/>
      </c>
      <c r="Y246" s="72"/>
    </row>
    <row r="247">
      <c r="B247" s="8"/>
      <c r="C247" s="8"/>
      <c r="D247" s="8" t="str">
        <f t="shared" si="1"/>
        <v/>
      </c>
      <c r="F247" s="8"/>
      <c r="G247" s="8"/>
      <c r="H247" s="8" t="str">
        <f t="shared" si="2"/>
        <v/>
      </c>
      <c r="J247" s="89"/>
      <c r="K247" s="82"/>
      <c r="V247" s="72"/>
      <c r="W247" s="72"/>
      <c r="X247" s="72" t="str">
        <f t="shared" si="3"/>
        <v/>
      </c>
      <c r="Y247" s="72"/>
    </row>
    <row r="248">
      <c r="B248" s="8"/>
      <c r="C248" s="8"/>
      <c r="D248" s="8" t="str">
        <f t="shared" si="1"/>
        <v/>
      </c>
      <c r="F248" s="8"/>
      <c r="G248" s="8"/>
      <c r="H248" s="8" t="str">
        <f t="shared" si="2"/>
        <v/>
      </c>
      <c r="V248" s="72"/>
      <c r="W248" s="72"/>
      <c r="X248" s="72" t="str">
        <f t="shared" si="3"/>
        <v/>
      </c>
      <c r="Y248" s="72"/>
    </row>
    <row r="249">
      <c r="B249" s="8"/>
      <c r="C249" s="8"/>
      <c r="D249" s="8" t="str">
        <f t="shared" si="1"/>
        <v/>
      </c>
      <c r="F249" s="8"/>
      <c r="G249" s="8"/>
      <c r="H249" s="8" t="str">
        <f t="shared" si="2"/>
        <v/>
      </c>
      <c r="J249" s="89"/>
      <c r="K249" s="82"/>
      <c r="V249" s="72"/>
      <c r="W249" s="72"/>
      <c r="X249" s="72" t="str">
        <f t="shared" si="3"/>
        <v/>
      </c>
      <c r="Y249" s="72"/>
    </row>
    <row r="250">
      <c r="B250" s="8"/>
      <c r="C250" s="8"/>
      <c r="D250" s="8" t="str">
        <f t="shared" si="1"/>
        <v/>
      </c>
      <c r="F250" s="8"/>
      <c r="G250" s="8"/>
      <c r="H250" s="8" t="str">
        <f t="shared" si="2"/>
        <v/>
      </c>
      <c r="V250" s="72"/>
      <c r="W250" s="72"/>
      <c r="X250" s="72" t="str">
        <f t="shared" si="3"/>
        <v/>
      </c>
      <c r="Y250" s="72"/>
    </row>
    <row r="251">
      <c r="B251" s="8"/>
      <c r="C251" s="8"/>
      <c r="D251" s="8" t="str">
        <f t="shared" si="1"/>
        <v/>
      </c>
      <c r="F251" s="8"/>
      <c r="G251" s="8"/>
      <c r="H251" s="8" t="str">
        <f t="shared" si="2"/>
        <v/>
      </c>
      <c r="J251" s="89"/>
      <c r="K251" s="82"/>
      <c r="V251" s="72"/>
      <c r="W251" s="72"/>
      <c r="X251" s="72" t="str">
        <f t="shared" si="3"/>
        <v/>
      </c>
      <c r="Y251" s="72"/>
    </row>
    <row r="252">
      <c r="B252" s="8"/>
      <c r="C252" s="8"/>
      <c r="D252" s="8" t="str">
        <f t="shared" si="1"/>
        <v/>
      </c>
      <c r="F252" s="8"/>
      <c r="G252" s="8"/>
      <c r="H252" s="8" t="str">
        <f t="shared" si="2"/>
        <v/>
      </c>
      <c r="V252" s="72"/>
      <c r="W252" s="72"/>
      <c r="X252" s="72" t="str">
        <f t="shared" si="3"/>
        <v/>
      </c>
      <c r="Y252" s="72"/>
    </row>
    <row r="253">
      <c r="B253" s="8"/>
      <c r="C253" s="8"/>
      <c r="D253" s="8" t="str">
        <f t="shared" si="1"/>
        <v/>
      </c>
      <c r="F253" s="8"/>
      <c r="G253" s="8"/>
      <c r="H253" s="8" t="str">
        <f t="shared" si="2"/>
        <v/>
      </c>
      <c r="J253" s="89"/>
      <c r="K253" s="82"/>
      <c r="V253" s="72"/>
      <c r="W253" s="72"/>
      <c r="X253" s="72" t="str">
        <f t="shared" si="3"/>
        <v/>
      </c>
      <c r="Y253" s="72"/>
    </row>
    <row r="254">
      <c r="B254" s="8"/>
      <c r="C254" s="8"/>
      <c r="D254" s="8" t="str">
        <f t="shared" si="1"/>
        <v/>
      </c>
      <c r="F254" s="8"/>
      <c r="G254" s="8"/>
      <c r="H254" s="8" t="str">
        <f t="shared" si="2"/>
        <v/>
      </c>
      <c r="V254" s="72"/>
      <c r="W254" s="72"/>
      <c r="X254" s="72" t="str">
        <f t="shared" si="3"/>
        <v/>
      </c>
      <c r="Y254" s="72"/>
    </row>
    <row r="255">
      <c r="B255" s="8"/>
      <c r="C255" s="8"/>
      <c r="D255" s="8" t="str">
        <f t="shared" si="1"/>
        <v/>
      </c>
      <c r="F255" s="8"/>
      <c r="G255" s="8"/>
      <c r="H255" s="8" t="str">
        <f t="shared" si="2"/>
        <v/>
      </c>
      <c r="J255" s="89"/>
      <c r="K255" s="82"/>
      <c r="V255" s="72"/>
      <c r="W255" s="72"/>
      <c r="X255" s="72" t="str">
        <f t="shared" si="3"/>
        <v/>
      </c>
      <c r="Y255" s="72"/>
    </row>
    <row r="256">
      <c r="B256" s="8"/>
      <c r="C256" s="8"/>
      <c r="D256" s="8" t="str">
        <f t="shared" si="1"/>
        <v/>
      </c>
      <c r="F256" s="8"/>
      <c r="G256" s="8"/>
      <c r="H256" s="8" t="str">
        <f t="shared" si="2"/>
        <v/>
      </c>
      <c r="V256" s="72"/>
      <c r="W256" s="72"/>
      <c r="X256" s="72" t="str">
        <f t="shared" si="3"/>
        <v/>
      </c>
      <c r="Y256" s="72"/>
    </row>
    <row r="257">
      <c r="B257" s="8"/>
      <c r="C257" s="8"/>
      <c r="D257" s="8" t="str">
        <f t="shared" si="1"/>
        <v/>
      </c>
      <c r="F257" s="8"/>
      <c r="G257" s="8"/>
      <c r="H257" s="8" t="str">
        <f t="shared" si="2"/>
        <v/>
      </c>
      <c r="J257" s="89"/>
      <c r="K257" s="82"/>
      <c r="V257" s="72"/>
      <c r="W257" s="72"/>
      <c r="X257" s="72" t="str">
        <f t="shared" si="3"/>
        <v/>
      </c>
      <c r="Y257" s="72"/>
    </row>
    <row r="258">
      <c r="B258" s="8"/>
      <c r="C258" s="8"/>
      <c r="D258" s="8" t="str">
        <f t="shared" si="1"/>
        <v/>
      </c>
      <c r="F258" s="8"/>
      <c r="G258" s="8"/>
      <c r="H258" s="8" t="str">
        <f t="shared" si="2"/>
        <v/>
      </c>
      <c r="V258" s="72"/>
      <c r="W258" s="72"/>
      <c r="X258" s="72" t="str">
        <f t="shared" si="3"/>
        <v/>
      </c>
      <c r="Y258" s="72"/>
    </row>
    <row r="259">
      <c r="B259" s="8"/>
      <c r="C259" s="8"/>
      <c r="D259" s="8" t="str">
        <f t="shared" si="1"/>
        <v/>
      </c>
      <c r="F259" s="8"/>
      <c r="G259" s="8"/>
      <c r="H259" s="8" t="str">
        <f t="shared" si="2"/>
        <v/>
      </c>
      <c r="J259" s="89"/>
      <c r="K259" s="82"/>
      <c r="V259" s="72"/>
      <c r="W259" s="72"/>
      <c r="X259" s="72" t="str">
        <f t="shared" si="3"/>
        <v/>
      </c>
      <c r="Y259" s="72"/>
    </row>
    <row r="260">
      <c r="B260" s="8"/>
      <c r="C260" s="8"/>
      <c r="D260" s="8" t="str">
        <f t="shared" si="1"/>
        <v/>
      </c>
      <c r="F260" s="8"/>
      <c r="G260" s="8"/>
      <c r="H260" s="8" t="str">
        <f t="shared" si="2"/>
        <v/>
      </c>
      <c r="V260" s="72"/>
      <c r="W260" s="72"/>
      <c r="X260" s="72" t="str">
        <f t="shared" si="3"/>
        <v/>
      </c>
      <c r="Y260" s="72"/>
    </row>
    <row r="261">
      <c r="B261" s="8"/>
      <c r="C261" s="8"/>
      <c r="D261" s="8" t="str">
        <f t="shared" si="1"/>
        <v/>
      </c>
      <c r="F261" s="8"/>
      <c r="G261" s="8"/>
      <c r="H261" s="8" t="str">
        <f t="shared" si="2"/>
        <v/>
      </c>
      <c r="J261" s="89"/>
      <c r="K261" s="82"/>
      <c r="V261" s="72"/>
      <c r="W261" s="72"/>
      <c r="X261" s="72" t="str">
        <f t="shared" si="3"/>
        <v/>
      </c>
      <c r="Y261" s="72"/>
    </row>
    <row r="262">
      <c r="B262" s="8"/>
      <c r="C262" s="8"/>
      <c r="D262" s="8" t="str">
        <f t="shared" si="1"/>
        <v/>
      </c>
      <c r="F262" s="8"/>
      <c r="G262" s="8"/>
      <c r="H262" s="8" t="str">
        <f t="shared" si="2"/>
        <v/>
      </c>
      <c r="V262" s="72"/>
      <c r="W262" s="72"/>
      <c r="X262" s="72" t="str">
        <f t="shared" si="3"/>
        <v/>
      </c>
      <c r="Y262" s="72"/>
    </row>
    <row r="263">
      <c r="B263" s="8"/>
      <c r="C263" s="8"/>
      <c r="D263" s="8" t="str">
        <f t="shared" si="1"/>
        <v/>
      </c>
      <c r="F263" s="8"/>
      <c r="G263" s="8"/>
      <c r="H263" s="8" t="str">
        <f t="shared" si="2"/>
        <v/>
      </c>
      <c r="J263" s="89"/>
      <c r="K263" s="82"/>
      <c r="V263" s="72"/>
      <c r="W263" s="72"/>
      <c r="X263" s="72" t="str">
        <f t="shared" si="3"/>
        <v/>
      </c>
      <c r="Y263" s="72"/>
    </row>
    <row r="264">
      <c r="B264" s="8"/>
      <c r="C264" s="8"/>
      <c r="D264" s="8" t="str">
        <f t="shared" si="1"/>
        <v/>
      </c>
      <c r="F264" s="8"/>
      <c r="G264" s="8"/>
      <c r="H264" s="8" t="str">
        <f t="shared" si="2"/>
        <v/>
      </c>
      <c r="V264" s="72"/>
      <c r="W264" s="72"/>
      <c r="X264" s="72" t="str">
        <f t="shared" si="3"/>
        <v/>
      </c>
      <c r="Y264" s="72"/>
    </row>
    <row r="265">
      <c r="B265" s="8"/>
      <c r="C265" s="8"/>
      <c r="D265" s="8" t="str">
        <f t="shared" si="1"/>
        <v/>
      </c>
      <c r="F265" s="8"/>
      <c r="G265" s="8"/>
      <c r="H265" s="8" t="str">
        <f t="shared" si="2"/>
        <v/>
      </c>
      <c r="J265" s="89"/>
      <c r="K265" s="82"/>
      <c r="V265" s="72"/>
      <c r="W265" s="72"/>
      <c r="X265" s="72" t="str">
        <f t="shared" si="3"/>
        <v/>
      </c>
      <c r="Y265" s="72"/>
    </row>
    <row r="266">
      <c r="B266" s="8"/>
      <c r="C266" s="8"/>
      <c r="D266" s="8" t="str">
        <f t="shared" si="1"/>
        <v/>
      </c>
      <c r="F266" s="8"/>
      <c r="G266" s="8"/>
      <c r="H266" s="8" t="str">
        <f t="shared" si="2"/>
        <v/>
      </c>
      <c r="V266" s="72"/>
      <c r="W266" s="72"/>
      <c r="X266" s="72" t="str">
        <f t="shared" si="3"/>
        <v/>
      </c>
      <c r="Y266" s="72"/>
    </row>
    <row r="267">
      <c r="B267" s="8"/>
      <c r="C267" s="8"/>
      <c r="D267" s="8" t="str">
        <f t="shared" si="1"/>
        <v/>
      </c>
      <c r="F267" s="8"/>
      <c r="G267" s="8"/>
      <c r="H267" s="8" t="str">
        <f t="shared" si="2"/>
        <v/>
      </c>
      <c r="J267" s="89"/>
      <c r="K267" s="82"/>
      <c r="V267" s="72"/>
      <c r="W267" s="72"/>
      <c r="X267" s="72" t="str">
        <f t="shared" si="3"/>
        <v/>
      </c>
      <c r="Y267" s="72"/>
    </row>
    <row r="268">
      <c r="B268" s="8"/>
      <c r="C268" s="8"/>
      <c r="D268" s="8" t="str">
        <f t="shared" si="1"/>
        <v/>
      </c>
      <c r="F268" s="8"/>
      <c r="G268" s="8"/>
      <c r="H268" s="8" t="str">
        <f t="shared" si="2"/>
        <v/>
      </c>
      <c r="V268" s="72"/>
      <c r="W268" s="72"/>
      <c r="X268" s="72" t="str">
        <f t="shared" si="3"/>
        <v/>
      </c>
      <c r="Y268" s="72"/>
    </row>
    <row r="269">
      <c r="B269" s="8"/>
      <c r="C269" s="8"/>
      <c r="D269" s="8" t="str">
        <f t="shared" si="1"/>
        <v/>
      </c>
      <c r="F269" s="8"/>
      <c r="G269" s="8"/>
      <c r="H269" s="8" t="str">
        <f t="shared" si="2"/>
        <v/>
      </c>
      <c r="J269" s="89"/>
      <c r="K269" s="82"/>
      <c r="V269" s="72"/>
      <c r="W269" s="72"/>
      <c r="X269" s="72" t="str">
        <f t="shared" si="3"/>
        <v/>
      </c>
      <c r="Y269" s="72"/>
    </row>
    <row r="270">
      <c r="B270" s="8"/>
      <c r="C270" s="8"/>
      <c r="D270" s="8" t="str">
        <f t="shared" si="1"/>
        <v/>
      </c>
      <c r="F270" s="8"/>
      <c r="G270" s="8"/>
      <c r="H270" s="8" t="str">
        <f t="shared" si="2"/>
        <v/>
      </c>
      <c r="V270" s="72"/>
      <c r="W270" s="72"/>
      <c r="X270" s="72" t="str">
        <f t="shared" si="3"/>
        <v/>
      </c>
      <c r="Y270" s="72"/>
    </row>
    <row r="271">
      <c r="B271" s="8"/>
      <c r="C271" s="8"/>
      <c r="D271" s="8" t="str">
        <f t="shared" si="1"/>
        <v/>
      </c>
      <c r="F271" s="8"/>
      <c r="G271" s="8"/>
      <c r="H271" s="8" t="str">
        <f t="shared" si="2"/>
        <v/>
      </c>
      <c r="J271" s="89"/>
      <c r="K271" s="82"/>
      <c r="V271" s="72"/>
      <c r="W271" s="72"/>
      <c r="X271" s="72" t="str">
        <f t="shared" si="3"/>
        <v/>
      </c>
      <c r="Y271" s="72"/>
    </row>
    <row r="272">
      <c r="B272" s="8"/>
      <c r="C272" s="8"/>
      <c r="D272" s="8" t="str">
        <f t="shared" si="1"/>
        <v/>
      </c>
      <c r="F272" s="8"/>
      <c r="G272" s="8"/>
      <c r="H272" s="8" t="str">
        <f t="shared" si="2"/>
        <v/>
      </c>
      <c r="V272" s="72"/>
      <c r="W272" s="72"/>
      <c r="X272" s="72" t="str">
        <f t="shared" si="3"/>
        <v/>
      </c>
      <c r="Y272" s="72"/>
    </row>
    <row r="273">
      <c r="B273" s="8"/>
      <c r="C273" s="8"/>
      <c r="D273" s="8" t="str">
        <f t="shared" si="1"/>
        <v/>
      </c>
      <c r="F273" s="8"/>
      <c r="G273" s="8"/>
      <c r="H273" s="8" t="str">
        <f t="shared" si="2"/>
        <v/>
      </c>
      <c r="J273" s="89"/>
      <c r="K273" s="82"/>
      <c r="V273" s="72"/>
      <c r="W273" s="72"/>
      <c r="X273" s="72" t="str">
        <f t="shared" si="3"/>
        <v/>
      </c>
      <c r="Y273" s="72"/>
    </row>
    <row r="274">
      <c r="B274" s="8"/>
      <c r="C274" s="8"/>
      <c r="D274" s="8" t="str">
        <f t="shared" si="1"/>
        <v/>
      </c>
      <c r="F274" s="8"/>
      <c r="G274" s="8"/>
      <c r="H274" s="8" t="str">
        <f t="shared" si="2"/>
        <v/>
      </c>
      <c r="V274" s="72"/>
      <c r="W274" s="72"/>
      <c r="X274" s="72" t="str">
        <f t="shared" si="3"/>
        <v/>
      </c>
      <c r="Y274" s="72"/>
    </row>
    <row r="275">
      <c r="B275" s="8"/>
      <c r="C275" s="8"/>
      <c r="D275" s="8" t="str">
        <f t="shared" si="1"/>
        <v/>
      </c>
      <c r="F275" s="8"/>
      <c r="G275" s="8"/>
      <c r="H275" s="8" t="str">
        <f t="shared" si="2"/>
        <v/>
      </c>
      <c r="J275" s="89"/>
      <c r="K275" s="82"/>
      <c r="V275" s="72"/>
      <c r="W275" s="72"/>
      <c r="X275" s="72" t="str">
        <f t="shared" si="3"/>
        <v/>
      </c>
      <c r="Y275" s="72"/>
    </row>
    <row r="276">
      <c r="B276" s="8"/>
      <c r="C276" s="8"/>
      <c r="D276" s="8" t="str">
        <f t="shared" si="1"/>
        <v/>
      </c>
      <c r="F276" s="8"/>
      <c r="G276" s="8"/>
      <c r="H276" s="8" t="str">
        <f t="shared" si="2"/>
        <v/>
      </c>
      <c r="V276" s="72"/>
      <c r="W276" s="72"/>
      <c r="X276" s="72" t="str">
        <f t="shared" si="3"/>
        <v/>
      </c>
      <c r="Y276" s="72"/>
    </row>
    <row r="277">
      <c r="B277" s="8"/>
      <c r="C277" s="8"/>
      <c r="D277" s="8" t="str">
        <f t="shared" si="1"/>
        <v/>
      </c>
      <c r="F277" s="8"/>
      <c r="G277" s="8"/>
      <c r="H277" s="8" t="str">
        <f t="shared" si="2"/>
        <v/>
      </c>
      <c r="J277" s="89"/>
      <c r="K277" s="82"/>
      <c r="V277" s="72"/>
      <c r="W277" s="72"/>
      <c r="X277" s="72" t="str">
        <f t="shared" si="3"/>
        <v/>
      </c>
      <c r="Y277" s="72"/>
    </row>
    <row r="278">
      <c r="B278" s="8"/>
      <c r="C278" s="8"/>
      <c r="D278" s="8" t="str">
        <f t="shared" si="1"/>
        <v/>
      </c>
      <c r="F278" s="8"/>
      <c r="G278" s="8"/>
      <c r="H278" s="8" t="str">
        <f t="shared" si="2"/>
        <v/>
      </c>
      <c r="V278" s="72"/>
      <c r="W278" s="72"/>
      <c r="X278" s="72" t="str">
        <f t="shared" si="3"/>
        <v/>
      </c>
      <c r="Y278" s="72"/>
    </row>
    <row r="279">
      <c r="B279" s="8"/>
      <c r="C279" s="8"/>
      <c r="D279" s="8" t="str">
        <f t="shared" si="1"/>
        <v/>
      </c>
      <c r="F279" s="8"/>
      <c r="G279" s="8"/>
      <c r="H279" s="8" t="str">
        <f t="shared" si="2"/>
        <v/>
      </c>
      <c r="J279" s="89"/>
      <c r="K279" s="82"/>
      <c r="V279" s="72"/>
      <c r="W279" s="72"/>
      <c r="X279" s="72" t="str">
        <f t="shared" si="3"/>
        <v/>
      </c>
      <c r="Y279" s="72"/>
    </row>
    <row r="280">
      <c r="B280" s="8"/>
      <c r="C280" s="8"/>
      <c r="D280" s="8" t="str">
        <f t="shared" si="1"/>
        <v/>
      </c>
      <c r="F280" s="8"/>
      <c r="G280" s="8"/>
      <c r="H280" s="8" t="str">
        <f t="shared" si="2"/>
        <v/>
      </c>
      <c r="V280" s="72"/>
      <c r="W280" s="72"/>
      <c r="X280" s="72" t="str">
        <f t="shared" si="3"/>
        <v/>
      </c>
      <c r="Y280" s="72"/>
    </row>
    <row r="281">
      <c r="B281" s="8"/>
      <c r="C281" s="8"/>
      <c r="D281" s="8" t="str">
        <f t="shared" si="1"/>
        <v/>
      </c>
      <c r="F281" s="8"/>
      <c r="G281" s="8"/>
      <c r="H281" s="8" t="str">
        <f t="shared" si="2"/>
        <v/>
      </c>
      <c r="J281" s="89"/>
      <c r="K281" s="82"/>
      <c r="V281" s="72"/>
      <c r="W281" s="72"/>
      <c r="X281" s="72" t="str">
        <f t="shared" si="3"/>
        <v/>
      </c>
      <c r="Y281" s="72"/>
    </row>
    <row r="282">
      <c r="B282" s="8"/>
      <c r="C282" s="8"/>
      <c r="D282" s="8" t="str">
        <f t="shared" si="1"/>
        <v/>
      </c>
      <c r="F282" s="8"/>
      <c r="G282" s="8"/>
      <c r="H282" s="8" t="str">
        <f t="shared" si="2"/>
        <v/>
      </c>
      <c r="V282" s="72"/>
      <c r="W282" s="72"/>
      <c r="X282" s="72" t="str">
        <f t="shared" si="3"/>
        <v/>
      </c>
      <c r="Y282" s="72"/>
    </row>
    <row r="283">
      <c r="B283" s="8"/>
      <c r="C283" s="8"/>
      <c r="D283" s="8" t="str">
        <f t="shared" si="1"/>
        <v/>
      </c>
      <c r="F283" s="8"/>
      <c r="G283" s="8"/>
      <c r="H283" s="8" t="str">
        <f t="shared" si="2"/>
        <v/>
      </c>
      <c r="J283" s="89"/>
      <c r="K283" s="82"/>
      <c r="V283" s="72"/>
      <c r="W283" s="72"/>
      <c r="X283" s="72" t="str">
        <f t="shared" si="3"/>
        <v/>
      </c>
      <c r="Y283" s="72"/>
    </row>
    <row r="284">
      <c r="B284" s="8"/>
      <c r="C284" s="8"/>
      <c r="D284" s="8" t="str">
        <f t="shared" si="1"/>
        <v/>
      </c>
      <c r="F284" s="8"/>
      <c r="G284" s="8"/>
      <c r="H284" s="8" t="str">
        <f t="shared" si="2"/>
        <v/>
      </c>
      <c r="V284" s="72"/>
      <c r="W284" s="72"/>
      <c r="X284" s="72" t="str">
        <f t="shared" si="3"/>
        <v/>
      </c>
      <c r="Y284" s="72"/>
    </row>
    <row r="285">
      <c r="B285" s="8"/>
      <c r="C285" s="8"/>
      <c r="D285" s="8" t="str">
        <f t="shared" si="1"/>
        <v/>
      </c>
      <c r="F285" s="8"/>
      <c r="G285" s="8"/>
      <c r="H285" s="8" t="str">
        <f t="shared" si="2"/>
        <v/>
      </c>
      <c r="J285" s="89"/>
      <c r="K285" s="82"/>
      <c r="V285" s="72"/>
      <c r="W285" s="72"/>
      <c r="X285" s="72" t="str">
        <f t="shared" si="3"/>
        <v/>
      </c>
      <c r="Y285" s="72"/>
    </row>
    <row r="286">
      <c r="B286" s="8"/>
      <c r="C286" s="8"/>
      <c r="D286" s="8" t="str">
        <f t="shared" si="1"/>
        <v/>
      </c>
      <c r="F286" s="8"/>
      <c r="G286" s="8"/>
      <c r="H286" s="8" t="str">
        <f t="shared" si="2"/>
        <v/>
      </c>
      <c r="V286" s="72"/>
      <c r="W286" s="72"/>
      <c r="X286" s="72" t="str">
        <f t="shared" si="3"/>
        <v/>
      </c>
      <c r="Y286" s="72"/>
    </row>
    <row r="287">
      <c r="B287" s="8"/>
      <c r="C287" s="8"/>
      <c r="D287" s="8" t="str">
        <f t="shared" si="1"/>
        <v/>
      </c>
      <c r="F287" s="8"/>
      <c r="G287" s="8"/>
      <c r="H287" s="8" t="str">
        <f t="shared" si="2"/>
        <v/>
      </c>
      <c r="J287" s="89"/>
      <c r="K287" s="82"/>
      <c r="V287" s="72"/>
      <c r="W287" s="72"/>
      <c r="X287" s="72" t="str">
        <f t="shared" si="3"/>
        <v/>
      </c>
      <c r="Y287" s="72"/>
    </row>
    <row r="288">
      <c r="B288" s="8"/>
      <c r="C288" s="8"/>
      <c r="D288" s="8" t="str">
        <f t="shared" si="1"/>
        <v/>
      </c>
      <c r="F288" s="8"/>
      <c r="G288" s="8"/>
      <c r="H288" s="8" t="str">
        <f t="shared" si="2"/>
        <v/>
      </c>
      <c r="V288" s="72"/>
      <c r="W288" s="72"/>
      <c r="X288" s="72" t="str">
        <f t="shared" si="3"/>
        <v/>
      </c>
      <c r="Y288" s="72"/>
    </row>
    <row r="289">
      <c r="B289" s="8"/>
      <c r="C289" s="8"/>
      <c r="D289" s="8" t="str">
        <f t="shared" si="1"/>
        <v/>
      </c>
      <c r="F289" s="8"/>
      <c r="G289" s="8"/>
      <c r="H289" s="8" t="str">
        <f t="shared" si="2"/>
        <v/>
      </c>
      <c r="J289" s="89"/>
      <c r="K289" s="82"/>
      <c r="V289" s="72"/>
      <c r="W289" s="72"/>
      <c r="X289" s="72" t="str">
        <f t="shared" si="3"/>
        <v/>
      </c>
      <c r="Y289" s="72"/>
    </row>
    <row r="290">
      <c r="B290" s="8"/>
      <c r="C290" s="8"/>
      <c r="D290" s="8" t="str">
        <f t="shared" si="1"/>
        <v/>
      </c>
      <c r="F290" s="8"/>
      <c r="G290" s="8"/>
      <c r="H290" s="8" t="str">
        <f t="shared" si="2"/>
        <v/>
      </c>
      <c r="V290" s="72"/>
      <c r="W290" s="72"/>
      <c r="X290" s="72" t="str">
        <f t="shared" si="3"/>
        <v/>
      </c>
      <c r="Y290" s="72"/>
    </row>
    <row r="291">
      <c r="B291" s="8"/>
      <c r="C291" s="8"/>
      <c r="D291" s="8" t="str">
        <f t="shared" si="1"/>
        <v/>
      </c>
      <c r="F291" s="8"/>
      <c r="G291" s="8"/>
      <c r="H291" s="8" t="str">
        <f t="shared" si="2"/>
        <v/>
      </c>
      <c r="J291" s="89"/>
      <c r="K291" s="82"/>
      <c r="V291" s="72"/>
      <c r="W291" s="72"/>
      <c r="X291" s="72" t="str">
        <f t="shared" si="3"/>
        <v/>
      </c>
      <c r="Y291" s="72"/>
    </row>
    <row r="292">
      <c r="B292" s="8"/>
      <c r="C292" s="8"/>
      <c r="D292" s="8" t="str">
        <f t="shared" si="1"/>
        <v/>
      </c>
      <c r="F292" s="8"/>
      <c r="G292" s="8"/>
      <c r="H292" s="8" t="str">
        <f t="shared" si="2"/>
        <v/>
      </c>
      <c r="V292" s="72"/>
      <c r="W292" s="72"/>
      <c r="X292" s="72" t="str">
        <f t="shared" si="3"/>
        <v/>
      </c>
      <c r="Y292" s="72"/>
    </row>
    <row r="293">
      <c r="B293" s="8"/>
      <c r="C293" s="8"/>
      <c r="D293" s="8" t="str">
        <f t="shared" si="1"/>
        <v/>
      </c>
      <c r="F293" s="8"/>
      <c r="G293" s="8"/>
      <c r="H293" s="8" t="str">
        <f t="shared" si="2"/>
        <v/>
      </c>
      <c r="J293" s="89"/>
      <c r="K293" s="82"/>
      <c r="V293" s="72"/>
      <c r="W293" s="72"/>
      <c r="X293" s="72" t="str">
        <f t="shared" si="3"/>
        <v/>
      </c>
      <c r="Y293" s="72"/>
    </row>
    <row r="294">
      <c r="B294" s="8"/>
      <c r="C294" s="8"/>
      <c r="D294" s="8" t="str">
        <f t="shared" si="1"/>
        <v/>
      </c>
      <c r="F294" s="8"/>
      <c r="G294" s="8"/>
      <c r="H294" s="8" t="str">
        <f t="shared" si="2"/>
        <v/>
      </c>
      <c r="V294" s="72"/>
      <c r="W294" s="72"/>
      <c r="X294" s="72" t="str">
        <f t="shared" si="3"/>
        <v/>
      </c>
      <c r="Y294" s="72"/>
    </row>
    <row r="295">
      <c r="B295" s="8"/>
      <c r="C295" s="8"/>
      <c r="D295" s="8" t="str">
        <f t="shared" si="1"/>
        <v/>
      </c>
      <c r="F295" s="8"/>
      <c r="G295" s="8"/>
      <c r="H295" s="8" t="str">
        <f t="shared" si="2"/>
        <v/>
      </c>
      <c r="J295" s="89"/>
      <c r="K295" s="82"/>
      <c r="V295" s="72"/>
      <c r="W295" s="72"/>
      <c r="X295" s="72" t="str">
        <f t="shared" si="3"/>
        <v/>
      </c>
      <c r="Y295" s="72"/>
    </row>
    <row r="296">
      <c r="B296" s="8"/>
      <c r="C296" s="8"/>
      <c r="D296" s="8" t="str">
        <f t="shared" si="1"/>
        <v/>
      </c>
      <c r="F296" s="8"/>
      <c r="G296" s="8"/>
      <c r="H296" s="8" t="str">
        <f t="shared" si="2"/>
        <v/>
      </c>
      <c r="V296" s="72"/>
      <c r="W296" s="72"/>
      <c r="X296" s="72" t="str">
        <f t="shared" si="3"/>
        <v/>
      </c>
      <c r="Y296" s="72"/>
    </row>
    <row r="297">
      <c r="B297" s="8"/>
      <c r="C297" s="8"/>
      <c r="D297" s="8" t="str">
        <f t="shared" si="1"/>
        <v/>
      </c>
      <c r="F297" s="8"/>
      <c r="G297" s="8"/>
      <c r="H297" s="8" t="str">
        <f t="shared" si="2"/>
        <v/>
      </c>
      <c r="J297" s="89"/>
      <c r="K297" s="82"/>
      <c r="V297" s="72"/>
      <c r="W297" s="72"/>
      <c r="X297" s="72" t="str">
        <f t="shared" si="3"/>
        <v/>
      </c>
      <c r="Y297" s="72"/>
    </row>
    <row r="298">
      <c r="B298" s="8"/>
      <c r="C298" s="8"/>
      <c r="D298" s="8" t="str">
        <f t="shared" si="1"/>
        <v/>
      </c>
      <c r="F298" s="8"/>
      <c r="G298" s="8"/>
      <c r="H298" s="8" t="str">
        <f t="shared" si="2"/>
        <v/>
      </c>
      <c r="V298" s="72"/>
      <c r="W298" s="72"/>
      <c r="X298" s="72" t="str">
        <f t="shared" si="3"/>
        <v/>
      </c>
      <c r="Y298" s="72"/>
    </row>
    <row r="299">
      <c r="B299" s="8"/>
      <c r="C299" s="8"/>
      <c r="D299" s="8" t="str">
        <f t="shared" si="1"/>
        <v/>
      </c>
      <c r="F299" s="8"/>
      <c r="G299" s="8"/>
      <c r="H299" s="8" t="str">
        <f t="shared" si="2"/>
        <v/>
      </c>
      <c r="J299" s="89"/>
      <c r="K299" s="82"/>
      <c r="V299" s="72"/>
      <c r="W299" s="72"/>
      <c r="X299" s="72" t="str">
        <f t="shared" si="3"/>
        <v/>
      </c>
      <c r="Y299" s="72"/>
    </row>
    <row r="300">
      <c r="B300" s="8"/>
      <c r="C300" s="8"/>
      <c r="D300" s="8" t="str">
        <f t="shared" si="1"/>
        <v/>
      </c>
      <c r="F300" s="8"/>
      <c r="G300" s="8"/>
      <c r="H300" s="8" t="str">
        <f t="shared" si="2"/>
        <v/>
      </c>
      <c r="V300" s="72"/>
      <c r="W300" s="72"/>
      <c r="X300" s="72" t="str">
        <f t="shared" si="3"/>
        <v/>
      </c>
      <c r="Y300" s="72"/>
    </row>
    <row r="301">
      <c r="B301" s="8"/>
      <c r="C301" s="8"/>
      <c r="D301" s="8" t="str">
        <f t="shared" si="1"/>
        <v/>
      </c>
      <c r="F301" s="8"/>
      <c r="G301" s="8"/>
      <c r="H301" s="8" t="str">
        <f t="shared" si="2"/>
        <v/>
      </c>
      <c r="J301" s="89"/>
      <c r="K301" s="82"/>
      <c r="V301" s="72"/>
      <c r="W301" s="72"/>
      <c r="X301" s="72" t="str">
        <f t="shared" si="3"/>
        <v/>
      </c>
      <c r="Y301" s="72"/>
    </row>
    <row r="302">
      <c r="B302" s="8"/>
      <c r="C302" s="8"/>
      <c r="D302" s="8" t="str">
        <f t="shared" si="1"/>
        <v/>
      </c>
      <c r="F302" s="8"/>
      <c r="G302" s="8"/>
      <c r="H302" s="8" t="str">
        <f t="shared" si="2"/>
        <v/>
      </c>
      <c r="V302" s="72"/>
      <c r="W302" s="72"/>
      <c r="X302" s="72" t="str">
        <f t="shared" si="3"/>
        <v/>
      </c>
      <c r="Y302" s="72"/>
    </row>
    <row r="303">
      <c r="B303" s="8"/>
      <c r="C303" s="8"/>
      <c r="D303" s="8" t="str">
        <f t="shared" si="1"/>
        <v/>
      </c>
      <c r="F303" s="8"/>
      <c r="G303" s="8"/>
      <c r="H303" s="8" t="str">
        <f t="shared" si="2"/>
        <v/>
      </c>
      <c r="J303" s="89"/>
      <c r="K303" s="82"/>
      <c r="V303" s="72"/>
      <c r="W303" s="72"/>
      <c r="X303" s="72" t="str">
        <f t="shared" si="3"/>
        <v/>
      </c>
      <c r="Y303" s="72"/>
    </row>
    <row r="304">
      <c r="B304" s="8"/>
      <c r="C304" s="8"/>
      <c r="D304" s="8" t="str">
        <f t="shared" si="1"/>
        <v/>
      </c>
      <c r="F304" s="8"/>
      <c r="G304" s="8"/>
      <c r="H304" s="8" t="str">
        <f t="shared" si="2"/>
        <v/>
      </c>
      <c r="V304" s="72"/>
      <c r="W304" s="72"/>
      <c r="X304" s="72" t="str">
        <f t="shared" si="3"/>
        <v/>
      </c>
      <c r="Y304" s="72"/>
    </row>
    <row r="305">
      <c r="B305" s="8"/>
      <c r="C305" s="8"/>
      <c r="D305" s="8" t="str">
        <f t="shared" si="1"/>
        <v/>
      </c>
      <c r="F305" s="8"/>
      <c r="G305" s="8"/>
      <c r="H305" s="8" t="str">
        <f t="shared" si="2"/>
        <v/>
      </c>
      <c r="J305" s="89"/>
      <c r="K305" s="82"/>
      <c r="V305" s="72"/>
      <c r="W305" s="72"/>
      <c r="X305" s="72" t="str">
        <f t="shared" si="3"/>
        <v/>
      </c>
      <c r="Y305" s="72"/>
    </row>
    <row r="306">
      <c r="B306" s="8"/>
      <c r="C306" s="8"/>
      <c r="D306" s="8" t="str">
        <f t="shared" si="1"/>
        <v/>
      </c>
      <c r="F306" s="8"/>
      <c r="G306" s="8"/>
      <c r="H306" s="8" t="str">
        <f t="shared" si="2"/>
        <v/>
      </c>
      <c r="V306" s="72"/>
      <c r="W306" s="72"/>
      <c r="X306" s="72" t="str">
        <f t="shared" si="3"/>
        <v/>
      </c>
      <c r="Y306" s="72"/>
    </row>
    <row r="307">
      <c r="B307" s="8"/>
      <c r="C307" s="8"/>
      <c r="D307" s="8" t="str">
        <f t="shared" si="1"/>
        <v/>
      </c>
      <c r="F307" s="8"/>
      <c r="G307" s="8"/>
      <c r="H307" s="8" t="str">
        <f t="shared" si="2"/>
        <v/>
      </c>
      <c r="J307" s="89"/>
      <c r="K307" s="82"/>
      <c r="V307" s="72"/>
      <c r="W307" s="72"/>
      <c r="X307" s="72" t="str">
        <f t="shared" si="3"/>
        <v/>
      </c>
      <c r="Y307" s="72"/>
    </row>
    <row r="308">
      <c r="B308" s="8"/>
      <c r="C308" s="8"/>
      <c r="D308" s="8" t="str">
        <f t="shared" si="1"/>
        <v/>
      </c>
      <c r="F308" s="8"/>
      <c r="G308" s="8"/>
      <c r="H308" s="8" t="str">
        <f t="shared" si="2"/>
        <v/>
      </c>
      <c r="V308" s="72"/>
      <c r="W308" s="72"/>
      <c r="X308" s="72" t="str">
        <f t="shared" si="3"/>
        <v/>
      </c>
      <c r="Y308" s="72"/>
    </row>
    <row r="309">
      <c r="B309" s="8"/>
      <c r="C309" s="8"/>
      <c r="D309" s="8" t="str">
        <f t="shared" si="1"/>
        <v/>
      </c>
      <c r="F309" s="8"/>
      <c r="G309" s="8"/>
      <c r="H309" s="8" t="str">
        <f t="shared" si="2"/>
        <v/>
      </c>
      <c r="J309" s="89"/>
      <c r="K309" s="82"/>
      <c r="V309" s="72"/>
      <c r="W309" s="72"/>
      <c r="X309" s="72" t="str">
        <f t="shared" si="3"/>
        <v/>
      </c>
      <c r="Y309" s="72"/>
    </row>
    <row r="310">
      <c r="B310" s="8"/>
      <c r="C310" s="8"/>
      <c r="D310" s="8" t="str">
        <f t="shared" si="1"/>
        <v/>
      </c>
      <c r="F310" s="8"/>
      <c r="G310" s="8"/>
      <c r="H310" s="8" t="str">
        <f t="shared" si="2"/>
        <v/>
      </c>
      <c r="V310" s="72"/>
      <c r="W310" s="72"/>
      <c r="X310" s="72" t="str">
        <f t="shared" si="3"/>
        <v/>
      </c>
      <c r="Y310" s="72"/>
    </row>
    <row r="311">
      <c r="B311" s="8"/>
      <c r="C311" s="8"/>
      <c r="D311" s="8" t="str">
        <f t="shared" si="1"/>
        <v/>
      </c>
      <c r="F311" s="8"/>
      <c r="G311" s="8"/>
      <c r="H311" s="8" t="str">
        <f t="shared" si="2"/>
        <v/>
      </c>
      <c r="J311" s="89"/>
      <c r="K311" s="82"/>
      <c r="V311" s="72"/>
      <c r="W311" s="72"/>
      <c r="X311" s="72" t="str">
        <f t="shared" si="3"/>
        <v/>
      </c>
      <c r="Y311" s="72"/>
    </row>
    <row r="312">
      <c r="B312" s="8"/>
      <c r="C312" s="8"/>
      <c r="D312" s="8" t="str">
        <f t="shared" si="1"/>
        <v/>
      </c>
      <c r="F312" s="8"/>
      <c r="G312" s="8"/>
      <c r="H312" s="8" t="str">
        <f t="shared" si="2"/>
        <v/>
      </c>
      <c r="V312" s="72"/>
      <c r="W312" s="72"/>
      <c r="X312" s="72" t="str">
        <f t="shared" si="3"/>
        <v/>
      </c>
      <c r="Y312" s="72"/>
    </row>
    <row r="313">
      <c r="B313" s="8"/>
      <c r="C313" s="8"/>
      <c r="D313" s="8" t="str">
        <f t="shared" si="1"/>
        <v/>
      </c>
      <c r="F313" s="8"/>
      <c r="G313" s="8"/>
      <c r="H313" s="8" t="str">
        <f t="shared" si="2"/>
        <v/>
      </c>
      <c r="J313" s="89"/>
      <c r="K313" s="82"/>
      <c r="V313" s="72"/>
      <c r="W313" s="72"/>
      <c r="X313" s="72" t="str">
        <f t="shared" si="3"/>
        <v/>
      </c>
      <c r="Y313" s="72"/>
    </row>
    <row r="314">
      <c r="B314" s="8"/>
      <c r="C314" s="8"/>
      <c r="D314" s="8" t="str">
        <f t="shared" si="1"/>
        <v/>
      </c>
      <c r="F314" s="8"/>
      <c r="G314" s="8"/>
      <c r="H314" s="8" t="str">
        <f t="shared" si="2"/>
        <v/>
      </c>
      <c r="V314" s="72"/>
      <c r="W314" s="72"/>
      <c r="X314" s="72" t="str">
        <f t="shared" si="3"/>
        <v/>
      </c>
      <c r="Y314" s="72"/>
    </row>
    <row r="315">
      <c r="B315" s="8"/>
      <c r="C315" s="8"/>
      <c r="D315" s="8" t="str">
        <f t="shared" si="1"/>
        <v/>
      </c>
      <c r="F315" s="8"/>
      <c r="G315" s="8"/>
      <c r="H315" s="8" t="str">
        <f t="shared" si="2"/>
        <v/>
      </c>
      <c r="J315" s="89"/>
      <c r="K315" s="82"/>
      <c r="V315" s="72"/>
      <c r="W315" s="72"/>
      <c r="X315" s="72" t="str">
        <f t="shared" si="3"/>
        <v/>
      </c>
      <c r="Y315" s="72"/>
    </row>
    <row r="316">
      <c r="B316" s="8"/>
      <c r="C316" s="8"/>
      <c r="D316" s="8" t="str">
        <f t="shared" si="1"/>
        <v/>
      </c>
      <c r="F316" s="8"/>
      <c r="G316" s="8"/>
      <c r="H316" s="8" t="str">
        <f t="shared" si="2"/>
        <v/>
      </c>
      <c r="V316" s="72"/>
      <c r="W316" s="72"/>
      <c r="X316" s="72" t="str">
        <f t="shared" si="3"/>
        <v/>
      </c>
      <c r="Y316" s="72"/>
    </row>
    <row r="317">
      <c r="B317" s="8"/>
      <c r="C317" s="8"/>
      <c r="D317" s="8" t="str">
        <f t="shared" si="1"/>
        <v/>
      </c>
      <c r="F317" s="8"/>
      <c r="G317" s="8"/>
      <c r="H317" s="8" t="str">
        <f t="shared" si="2"/>
        <v/>
      </c>
      <c r="J317" s="89"/>
      <c r="K317" s="82"/>
      <c r="V317" s="72"/>
      <c r="W317" s="72"/>
      <c r="X317" s="72" t="str">
        <f t="shared" si="3"/>
        <v/>
      </c>
      <c r="Y317" s="72"/>
    </row>
    <row r="318">
      <c r="B318" s="8"/>
      <c r="C318" s="8"/>
      <c r="D318" s="8" t="str">
        <f t="shared" si="1"/>
        <v/>
      </c>
      <c r="F318" s="8"/>
      <c r="G318" s="8"/>
      <c r="H318" s="8" t="str">
        <f t="shared" si="2"/>
        <v/>
      </c>
      <c r="V318" s="72"/>
      <c r="W318" s="72"/>
      <c r="X318" s="72" t="str">
        <f t="shared" si="3"/>
        <v/>
      </c>
      <c r="Y318" s="72"/>
    </row>
    <row r="319">
      <c r="B319" s="8"/>
      <c r="C319" s="8"/>
      <c r="D319" s="8" t="str">
        <f t="shared" si="1"/>
        <v/>
      </c>
      <c r="F319" s="8"/>
      <c r="G319" s="8"/>
      <c r="H319" s="8" t="str">
        <f t="shared" si="2"/>
        <v/>
      </c>
      <c r="J319" s="89"/>
      <c r="K319" s="82"/>
      <c r="V319" s="72"/>
      <c r="W319" s="72"/>
      <c r="X319" s="72" t="str">
        <f t="shared" si="3"/>
        <v/>
      </c>
      <c r="Y319" s="72"/>
    </row>
    <row r="320">
      <c r="B320" s="8"/>
      <c r="C320" s="8"/>
      <c r="D320" s="8" t="str">
        <f t="shared" si="1"/>
        <v/>
      </c>
      <c r="F320" s="8"/>
      <c r="G320" s="8"/>
      <c r="H320" s="8" t="str">
        <f t="shared" si="2"/>
        <v/>
      </c>
      <c r="V320" s="72"/>
      <c r="W320" s="72"/>
      <c r="X320" s="72" t="str">
        <f t="shared" si="3"/>
        <v/>
      </c>
      <c r="Y320" s="72"/>
    </row>
    <row r="321">
      <c r="B321" s="8"/>
      <c r="C321" s="8"/>
      <c r="D321" s="8" t="str">
        <f t="shared" si="1"/>
        <v/>
      </c>
      <c r="F321" s="8"/>
      <c r="G321" s="8"/>
      <c r="H321" s="8" t="str">
        <f t="shared" si="2"/>
        <v/>
      </c>
      <c r="J321" s="89"/>
      <c r="K321" s="82"/>
      <c r="V321" s="72"/>
      <c r="W321" s="72"/>
      <c r="X321" s="72" t="str">
        <f t="shared" si="3"/>
        <v/>
      </c>
      <c r="Y321" s="72"/>
    </row>
    <row r="322">
      <c r="B322" s="8"/>
      <c r="C322" s="8"/>
      <c r="D322" s="8" t="str">
        <f t="shared" si="1"/>
        <v/>
      </c>
      <c r="F322" s="8"/>
      <c r="G322" s="8"/>
      <c r="H322" s="8" t="str">
        <f t="shared" si="2"/>
        <v/>
      </c>
      <c r="V322" s="72"/>
      <c r="W322" s="72"/>
      <c r="X322" s="72" t="str">
        <f t="shared" si="3"/>
        <v/>
      </c>
      <c r="Y322" s="72"/>
    </row>
    <row r="323">
      <c r="B323" s="8"/>
      <c r="C323" s="8"/>
      <c r="D323" s="8" t="str">
        <f t="shared" si="1"/>
        <v/>
      </c>
      <c r="F323" s="8"/>
      <c r="G323" s="8"/>
      <c r="H323" s="8" t="str">
        <f t="shared" si="2"/>
        <v/>
      </c>
      <c r="J323" s="89"/>
      <c r="K323" s="82"/>
      <c r="V323" s="72"/>
      <c r="W323" s="72"/>
      <c r="X323" s="72" t="str">
        <f t="shared" si="3"/>
        <v/>
      </c>
      <c r="Y323" s="72"/>
    </row>
    <row r="324">
      <c r="B324" s="8"/>
      <c r="C324" s="8"/>
      <c r="D324" s="8" t="str">
        <f t="shared" si="1"/>
        <v/>
      </c>
      <c r="F324" s="8"/>
      <c r="G324" s="8"/>
      <c r="H324" s="8" t="str">
        <f t="shared" si="2"/>
        <v/>
      </c>
      <c r="V324" s="72"/>
      <c r="W324" s="72"/>
      <c r="X324" s="72" t="str">
        <f t="shared" si="3"/>
        <v/>
      </c>
      <c r="Y324" s="72"/>
    </row>
    <row r="325">
      <c r="B325" s="8"/>
      <c r="C325" s="8"/>
      <c r="D325" s="8" t="str">
        <f t="shared" si="1"/>
        <v/>
      </c>
      <c r="F325" s="8"/>
      <c r="G325" s="8"/>
      <c r="H325" s="8" t="str">
        <f t="shared" si="2"/>
        <v/>
      </c>
      <c r="J325" s="89"/>
      <c r="K325" s="82"/>
      <c r="V325" s="72"/>
      <c r="W325" s="72"/>
      <c r="X325" s="72" t="str">
        <f t="shared" si="3"/>
        <v/>
      </c>
      <c r="Y325" s="72"/>
    </row>
    <row r="326">
      <c r="B326" s="8"/>
      <c r="C326" s="8"/>
      <c r="D326" s="8" t="str">
        <f t="shared" si="1"/>
        <v/>
      </c>
      <c r="F326" s="8"/>
      <c r="G326" s="8"/>
      <c r="H326" s="8" t="str">
        <f t="shared" si="2"/>
        <v/>
      </c>
      <c r="V326" s="72"/>
      <c r="W326" s="72"/>
      <c r="X326" s="72" t="str">
        <f t="shared" si="3"/>
        <v/>
      </c>
      <c r="Y326" s="72"/>
    </row>
    <row r="327">
      <c r="B327" s="8"/>
      <c r="C327" s="8"/>
      <c r="D327" s="8" t="str">
        <f t="shared" si="1"/>
        <v/>
      </c>
      <c r="F327" s="8"/>
      <c r="G327" s="8"/>
      <c r="H327" s="8" t="str">
        <f t="shared" si="2"/>
        <v/>
      </c>
      <c r="J327" s="89"/>
      <c r="K327" s="82"/>
      <c r="V327" s="72"/>
      <c r="W327" s="72"/>
      <c r="X327" s="72" t="str">
        <f t="shared" si="3"/>
        <v/>
      </c>
      <c r="Y327" s="72"/>
    </row>
    <row r="328">
      <c r="B328" s="8"/>
      <c r="C328" s="8"/>
      <c r="D328" s="8" t="str">
        <f t="shared" si="1"/>
        <v/>
      </c>
      <c r="F328" s="8"/>
      <c r="G328" s="8"/>
      <c r="H328" s="8" t="str">
        <f t="shared" si="2"/>
        <v/>
      </c>
      <c r="V328" s="72"/>
      <c r="W328" s="72"/>
      <c r="X328" s="72" t="str">
        <f t="shared" si="3"/>
        <v/>
      </c>
      <c r="Y328" s="72"/>
    </row>
    <row r="329">
      <c r="B329" s="8"/>
      <c r="C329" s="8"/>
      <c r="D329" s="8" t="str">
        <f t="shared" si="1"/>
        <v/>
      </c>
      <c r="F329" s="8"/>
      <c r="G329" s="8"/>
      <c r="H329" s="8" t="str">
        <f t="shared" si="2"/>
        <v/>
      </c>
      <c r="J329" s="89"/>
      <c r="K329" s="82"/>
      <c r="V329" s="72"/>
      <c r="W329" s="72"/>
      <c r="X329" s="72" t="str">
        <f t="shared" si="3"/>
        <v/>
      </c>
      <c r="Y329" s="72"/>
    </row>
    <row r="330">
      <c r="B330" s="8"/>
      <c r="C330" s="8"/>
      <c r="D330" s="8" t="str">
        <f t="shared" si="1"/>
        <v/>
      </c>
      <c r="F330" s="8"/>
      <c r="G330" s="8"/>
      <c r="H330" s="8" t="str">
        <f t="shared" si="2"/>
        <v/>
      </c>
      <c r="V330" s="72"/>
      <c r="W330" s="72"/>
      <c r="X330" s="72" t="str">
        <f t="shared" si="3"/>
        <v/>
      </c>
      <c r="Y330" s="72"/>
    </row>
    <row r="331">
      <c r="B331" s="8"/>
      <c r="C331" s="8"/>
      <c r="D331" s="8" t="str">
        <f t="shared" si="1"/>
        <v/>
      </c>
      <c r="F331" s="8"/>
      <c r="G331" s="8"/>
      <c r="H331" s="8" t="str">
        <f t="shared" si="2"/>
        <v/>
      </c>
      <c r="J331" s="89"/>
      <c r="K331" s="82"/>
      <c r="V331" s="72"/>
      <c r="W331" s="72"/>
      <c r="X331" s="72" t="str">
        <f t="shared" si="3"/>
        <v/>
      </c>
      <c r="Y331" s="72"/>
    </row>
    <row r="332">
      <c r="B332" s="8"/>
      <c r="C332" s="8"/>
      <c r="D332" s="8" t="str">
        <f t="shared" si="1"/>
        <v/>
      </c>
      <c r="F332" s="8"/>
      <c r="G332" s="8"/>
      <c r="H332" s="8" t="str">
        <f t="shared" si="2"/>
        <v/>
      </c>
      <c r="V332" s="72"/>
      <c r="W332" s="72"/>
      <c r="X332" s="72" t="str">
        <f t="shared" si="3"/>
        <v/>
      </c>
      <c r="Y332" s="72"/>
    </row>
    <row r="333">
      <c r="B333" s="8"/>
      <c r="C333" s="8"/>
      <c r="D333" s="8" t="str">
        <f t="shared" si="1"/>
        <v/>
      </c>
      <c r="F333" s="8"/>
      <c r="G333" s="8"/>
      <c r="H333" s="8" t="str">
        <f t="shared" si="2"/>
        <v/>
      </c>
      <c r="J333" s="89"/>
      <c r="K333" s="82"/>
      <c r="V333" s="72"/>
      <c r="W333" s="72"/>
      <c r="X333" s="72" t="str">
        <f t="shared" si="3"/>
        <v/>
      </c>
      <c r="Y333" s="72"/>
    </row>
    <row r="334">
      <c r="B334" s="8"/>
      <c r="C334" s="8"/>
      <c r="D334" s="8" t="str">
        <f t="shared" si="1"/>
        <v/>
      </c>
      <c r="F334" s="8"/>
      <c r="G334" s="8"/>
      <c r="H334" s="8" t="str">
        <f t="shared" si="2"/>
        <v/>
      </c>
      <c r="V334" s="72"/>
      <c r="W334" s="72"/>
      <c r="X334" s="72" t="str">
        <f t="shared" si="3"/>
        <v/>
      </c>
      <c r="Y334" s="72"/>
    </row>
    <row r="335">
      <c r="B335" s="8"/>
      <c r="C335" s="8"/>
      <c r="D335" s="8" t="str">
        <f t="shared" si="1"/>
        <v/>
      </c>
      <c r="F335" s="8"/>
      <c r="G335" s="8"/>
      <c r="H335" s="8" t="str">
        <f t="shared" si="2"/>
        <v/>
      </c>
      <c r="J335" s="89"/>
      <c r="K335" s="82"/>
      <c r="V335" s="72"/>
      <c r="W335" s="72"/>
      <c r="X335" s="72" t="str">
        <f t="shared" si="3"/>
        <v/>
      </c>
      <c r="Y335" s="72"/>
    </row>
    <row r="336">
      <c r="B336" s="8"/>
      <c r="C336" s="8"/>
      <c r="D336" s="8" t="str">
        <f t="shared" si="1"/>
        <v/>
      </c>
      <c r="F336" s="8"/>
      <c r="G336" s="8"/>
      <c r="H336" s="8" t="str">
        <f t="shared" si="2"/>
        <v/>
      </c>
      <c r="V336" s="72"/>
      <c r="W336" s="72"/>
      <c r="X336" s="72" t="str">
        <f t="shared" si="3"/>
        <v/>
      </c>
      <c r="Y336" s="72"/>
    </row>
    <row r="337">
      <c r="B337" s="8"/>
      <c r="C337" s="8"/>
      <c r="D337" s="8" t="str">
        <f t="shared" si="1"/>
        <v/>
      </c>
      <c r="F337" s="8"/>
      <c r="G337" s="8"/>
      <c r="H337" s="8" t="str">
        <f t="shared" si="2"/>
        <v/>
      </c>
      <c r="J337" s="89"/>
      <c r="K337" s="82"/>
      <c r="V337" s="72"/>
      <c r="W337" s="72"/>
      <c r="X337" s="72" t="str">
        <f t="shared" si="3"/>
        <v/>
      </c>
      <c r="Y337" s="72"/>
    </row>
    <row r="338">
      <c r="B338" s="8"/>
      <c r="C338" s="8"/>
      <c r="D338" s="8" t="str">
        <f t="shared" si="1"/>
        <v/>
      </c>
      <c r="F338" s="8"/>
      <c r="G338" s="8"/>
      <c r="H338" s="8" t="str">
        <f t="shared" si="2"/>
        <v/>
      </c>
      <c r="V338" s="72"/>
      <c r="W338" s="72"/>
      <c r="X338" s="72" t="str">
        <f t="shared" si="3"/>
        <v/>
      </c>
      <c r="Y338" s="72"/>
    </row>
    <row r="339">
      <c r="B339" s="8"/>
      <c r="C339" s="8"/>
      <c r="D339" s="8" t="str">
        <f t="shared" si="1"/>
        <v/>
      </c>
      <c r="F339" s="8"/>
      <c r="G339" s="8"/>
      <c r="H339" s="8" t="str">
        <f t="shared" si="2"/>
        <v/>
      </c>
      <c r="J339" s="89"/>
      <c r="K339" s="82"/>
      <c r="V339" s="72"/>
      <c r="W339" s="72"/>
      <c r="X339" s="72" t="str">
        <f t="shared" si="3"/>
        <v/>
      </c>
      <c r="Y339" s="72"/>
    </row>
    <row r="340">
      <c r="B340" s="8"/>
      <c r="C340" s="8"/>
      <c r="D340" s="8" t="str">
        <f t="shared" si="1"/>
        <v/>
      </c>
      <c r="F340" s="8"/>
      <c r="G340" s="8"/>
      <c r="H340" s="8" t="str">
        <f t="shared" si="2"/>
        <v/>
      </c>
      <c r="V340" s="72"/>
      <c r="W340" s="72"/>
      <c r="X340" s="72" t="str">
        <f t="shared" si="3"/>
        <v/>
      </c>
      <c r="Y340" s="72"/>
    </row>
    <row r="341">
      <c r="B341" s="8"/>
      <c r="C341" s="8"/>
      <c r="D341" s="8" t="str">
        <f t="shared" si="1"/>
        <v/>
      </c>
      <c r="F341" s="8"/>
      <c r="G341" s="8"/>
      <c r="H341" s="8" t="str">
        <f t="shared" si="2"/>
        <v/>
      </c>
      <c r="J341" s="89"/>
      <c r="K341" s="82"/>
      <c r="V341" s="72"/>
      <c r="W341" s="72"/>
      <c r="X341" s="72" t="str">
        <f t="shared" si="3"/>
        <v/>
      </c>
      <c r="Y341" s="72"/>
    </row>
    <row r="342">
      <c r="B342" s="8"/>
      <c r="C342" s="8"/>
      <c r="D342" s="8" t="str">
        <f t="shared" si="1"/>
        <v/>
      </c>
      <c r="F342" s="8"/>
      <c r="G342" s="8"/>
      <c r="H342" s="8" t="str">
        <f t="shared" si="2"/>
        <v/>
      </c>
      <c r="V342" s="72"/>
      <c r="W342" s="72"/>
      <c r="X342" s="72" t="str">
        <f t="shared" si="3"/>
        <v/>
      </c>
      <c r="Y342" s="72"/>
    </row>
    <row r="343">
      <c r="B343" s="8"/>
      <c r="C343" s="8"/>
      <c r="D343" s="8" t="str">
        <f t="shared" si="1"/>
        <v/>
      </c>
      <c r="F343" s="8"/>
      <c r="G343" s="8"/>
      <c r="H343" s="8" t="str">
        <f t="shared" si="2"/>
        <v/>
      </c>
      <c r="J343" s="89"/>
      <c r="K343" s="82"/>
      <c r="V343" s="72"/>
      <c r="W343" s="72"/>
      <c r="X343" s="72" t="str">
        <f t="shared" si="3"/>
        <v/>
      </c>
      <c r="Y343" s="72"/>
    </row>
    <row r="344">
      <c r="B344" s="8"/>
      <c r="C344" s="8"/>
      <c r="D344" s="8" t="str">
        <f t="shared" si="1"/>
        <v/>
      </c>
      <c r="F344" s="8"/>
      <c r="G344" s="8"/>
      <c r="H344" s="8" t="str">
        <f t="shared" si="2"/>
        <v/>
      </c>
      <c r="V344" s="72"/>
      <c r="W344" s="72"/>
      <c r="X344" s="72" t="str">
        <f t="shared" si="3"/>
        <v/>
      </c>
      <c r="Y344" s="72"/>
    </row>
    <row r="345">
      <c r="B345" s="8"/>
      <c r="C345" s="8"/>
      <c r="D345" s="8" t="str">
        <f t="shared" si="1"/>
        <v/>
      </c>
      <c r="F345" s="8"/>
      <c r="G345" s="8"/>
      <c r="H345" s="8" t="str">
        <f t="shared" si="2"/>
        <v/>
      </c>
      <c r="J345" s="89"/>
      <c r="K345" s="82"/>
      <c r="V345" s="72"/>
      <c r="W345" s="72"/>
      <c r="X345" s="72" t="str">
        <f t="shared" si="3"/>
        <v/>
      </c>
      <c r="Y345" s="72"/>
    </row>
    <row r="346">
      <c r="B346" s="8"/>
      <c r="C346" s="8"/>
      <c r="D346" s="8" t="str">
        <f t="shared" si="1"/>
        <v/>
      </c>
      <c r="F346" s="8"/>
      <c r="G346" s="8"/>
      <c r="H346" s="8" t="str">
        <f t="shared" si="2"/>
        <v/>
      </c>
      <c r="V346" s="72"/>
      <c r="W346" s="72"/>
      <c r="X346" s="72" t="str">
        <f t="shared" si="3"/>
        <v/>
      </c>
      <c r="Y346" s="72"/>
    </row>
    <row r="347">
      <c r="B347" s="8"/>
      <c r="C347" s="8"/>
      <c r="D347" s="8" t="str">
        <f t="shared" si="1"/>
        <v/>
      </c>
      <c r="F347" s="8"/>
      <c r="G347" s="8"/>
      <c r="H347" s="8" t="str">
        <f t="shared" si="2"/>
        <v/>
      </c>
      <c r="J347" s="89"/>
      <c r="K347" s="82"/>
      <c r="V347" s="72"/>
      <c r="W347" s="72"/>
      <c r="X347" s="72" t="str">
        <f t="shared" si="3"/>
        <v/>
      </c>
      <c r="Y347" s="72"/>
    </row>
    <row r="348">
      <c r="B348" s="8"/>
      <c r="C348" s="8"/>
      <c r="D348" s="8" t="str">
        <f t="shared" si="1"/>
        <v/>
      </c>
      <c r="F348" s="8"/>
      <c r="G348" s="8"/>
      <c r="H348" s="8" t="str">
        <f t="shared" si="2"/>
        <v/>
      </c>
      <c r="V348" s="72"/>
      <c r="W348" s="72"/>
      <c r="X348" s="72" t="str">
        <f t="shared" si="3"/>
        <v/>
      </c>
      <c r="Y348" s="72"/>
    </row>
    <row r="349">
      <c r="B349" s="8"/>
      <c r="C349" s="8"/>
      <c r="D349" s="8" t="str">
        <f t="shared" si="1"/>
        <v/>
      </c>
      <c r="F349" s="8"/>
      <c r="G349" s="8"/>
      <c r="H349" s="8" t="str">
        <f t="shared" si="2"/>
        <v/>
      </c>
      <c r="J349" s="89"/>
      <c r="K349" s="82"/>
      <c r="V349" s="72"/>
      <c r="W349" s="72"/>
      <c r="X349" s="72" t="str">
        <f t="shared" si="3"/>
        <v/>
      </c>
      <c r="Y349" s="72"/>
    </row>
    <row r="350">
      <c r="B350" s="8"/>
      <c r="C350" s="8"/>
      <c r="D350" s="8" t="str">
        <f t="shared" si="1"/>
        <v/>
      </c>
      <c r="F350" s="8"/>
      <c r="G350" s="8"/>
      <c r="H350" s="8" t="str">
        <f t="shared" si="2"/>
        <v/>
      </c>
      <c r="V350" s="72"/>
      <c r="W350" s="72"/>
      <c r="X350" s="72" t="str">
        <f t="shared" si="3"/>
        <v/>
      </c>
      <c r="Y350" s="72"/>
    </row>
    <row r="351">
      <c r="B351" s="8"/>
      <c r="C351" s="8"/>
      <c r="D351" s="8" t="str">
        <f t="shared" si="1"/>
        <v/>
      </c>
      <c r="F351" s="8"/>
      <c r="G351" s="8"/>
      <c r="H351" s="8" t="str">
        <f t="shared" si="2"/>
        <v/>
      </c>
      <c r="J351" s="89"/>
      <c r="K351" s="82"/>
      <c r="V351" s="72"/>
      <c r="W351" s="72"/>
      <c r="X351" s="72" t="str">
        <f t="shared" si="3"/>
        <v/>
      </c>
      <c r="Y351" s="72"/>
    </row>
    <row r="352">
      <c r="B352" s="8"/>
      <c r="C352" s="8"/>
      <c r="D352" s="8" t="str">
        <f t="shared" si="1"/>
        <v/>
      </c>
      <c r="F352" s="8"/>
      <c r="G352" s="8"/>
      <c r="H352" s="8" t="str">
        <f t="shared" si="2"/>
        <v/>
      </c>
      <c r="V352" s="72"/>
      <c r="W352" s="72"/>
      <c r="X352" s="72" t="str">
        <f t="shared" si="3"/>
        <v/>
      </c>
      <c r="Y352" s="72"/>
    </row>
    <row r="353">
      <c r="B353" s="8"/>
      <c r="C353" s="8"/>
      <c r="D353" s="8" t="str">
        <f t="shared" si="1"/>
        <v/>
      </c>
      <c r="F353" s="8"/>
      <c r="G353" s="8"/>
      <c r="H353" s="8" t="str">
        <f t="shared" si="2"/>
        <v/>
      </c>
      <c r="J353" s="89"/>
      <c r="K353" s="82"/>
      <c r="V353" s="72"/>
      <c r="W353" s="72"/>
      <c r="X353" s="72" t="str">
        <f t="shared" si="3"/>
        <v/>
      </c>
      <c r="Y353" s="72"/>
    </row>
    <row r="354">
      <c r="B354" s="8"/>
      <c r="C354" s="8"/>
      <c r="D354" s="8" t="str">
        <f t="shared" si="1"/>
        <v/>
      </c>
      <c r="F354" s="8"/>
      <c r="G354" s="8"/>
      <c r="H354" s="8" t="str">
        <f t="shared" si="2"/>
        <v/>
      </c>
      <c r="V354" s="72"/>
      <c r="W354" s="72"/>
      <c r="X354" s="72" t="str">
        <f t="shared" si="3"/>
        <v/>
      </c>
      <c r="Y354" s="72"/>
    </row>
    <row r="355">
      <c r="B355" s="8"/>
      <c r="C355" s="8"/>
      <c r="D355" s="8" t="str">
        <f t="shared" si="1"/>
        <v/>
      </c>
      <c r="F355" s="8"/>
      <c r="G355" s="8"/>
      <c r="H355" s="8" t="str">
        <f t="shared" si="2"/>
        <v/>
      </c>
      <c r="J355" s="89"/>
      <c r="K355" s="82"/>
      <c r="V355" s="72"/>
      <c r="W355" s="72"/>
      <c r="X355" s="72" t="str">
        <f t="shared" si="3"/>
        <v/>
      </c>
      <c r="Y355" s="72"/>
    </row>
    <row r="356">
      <c r="B356" s="8"/>
      <c r="C356" s="8"/>
      <c r="D356" s="8" t="str">
        <f t="shared" si="1"/>
        <v/>
      </c>
      <c r="F356" s="8"/>
      <c r="G356" s="8"/>
      <c r="H356" s="8" t="str">
        <f t="shared" si="2"/>
        <v/>
      </c>
      <c r="V356" s="72"/>
      <c r="W356" s="72"/>
      <c r="X356" s="72" t="str">
        <f t="shared" si="3"/>
        <v/>
      </c>
      <c r="Y356" s="72"/>
    </row>
    <row r="357">
      <c r="B357" s="8"/>
      <c r="C357" s="8"/>
      <c r="D357" s="8" t="str">
        <f t="shared" si="1"/>
        <v/>
      </c>
      <c r="F357" s="8"/>
      <c r="G357" s="8"/>
      <c r="H357" s="8" t="str">
        <f t="shared" si="2"/>
        <v/>
      </c>
      <c r="J357" s="89"/>
      <c r="K357" s="82"/>
      <c r="V357" s="72"/>
      <c r="W357" s="72"/>
      <c r="X357" s="72" t="str">
        <f t="shared" si="3"/>
        <v/>
      </c>
      <c r="Y357" s="72"/>
    </row>
    <row r="358">
      <c r="B358" s="8"/>
      <c r="C358" s="8"/>
      <c r="D358" s="8" t="str">
        <f t="shared" si="1"/>
        <v/>
      </c>
      <c r="F358" s="8"/>
      <c r="G358" s="8"/>
      <c r="H358" s="8" t="str">
        <f t="shared" si="2"/>
        <v/>
      </c>
      <c r="V358" s="72"/>
      <c r="W358" s="72"/>
      <c r="X358" s="72" t="str">
        <f t="shared" si="3"/>
        <v/>
      </c>
      <c r="Y358" s="72"/>
    </row>
    <row r="359">
      <c r="B359" s="8"/>
      <c r="C359" s="8"/>
      <c r="D359" s="8" t="str">
        <f t="shared" si="1"/>
        <v/>
      </c>
      <c r="F359" s="8"/>
      <c r="G359" s="8"/>
      <c r="H359" s="8" t="str">
        <f t="shared" si="2"/>
        <v/>
      </c>
      <c r="J359" s="89"/>
      <c r="K359" s="82"/>
      <c r="V359" s="72"/>
      <c r="W359" s="72"/>
      <c r="X359" s="72" t="str">
        <f t="shared" si="3"/>
        <v/>
      </c>
      <c r="Y359" s="72"/>
    </row>
    <row r="360">
      <c r="B360" s="8"/>
      <c r="C360" s="8"/>
      <c r="D360" s="8" t="str">
        <f t="shared" si="1"/>
        <v/>
      </c>
      <c r="F360" s="8"/>
      <c r="G360" s="8"/>
      <c r="H360" s="8" t="str">
        <f t="shared" si="2"/>
        <v/>
      </c>
      <c r="V360" s="72"/>
      <c r="W360" s="72"/>
      <c r="X360" s="72" t="str">
        <f t="shared" si="3"/>
        <v/>
      </c>
      <c r="Y360" s="72"/>
    </row>
    <row r="361">
      <c r="B361" s="8"/>
      <c r="C361" s="8"/>
      <c r="D361" s="8" t="str">
        <f t="shared" si="1"/>
        <v/>
      </c>
      <c r="F361" s="8"/>
      <c r="G361" s="8"/>
      <c r="H361" s="8" t="str">
        <f t="shared" si="2"/>
        <v/>
      </c>
      <c r="J361" s="89"/>
      <c r="K361" s="82"/>
      <c r="V361" s="72"/>
      <c r="W361" s="72"/>
      <c r="X361" s="72" t="str">
        <f t="shared" si="3"/>
        <v/>
      </c>
      <c r="Y361" s="72"/>
    </row>
    <row r="362">
      <c r="B362" s="8"/>
      <c r="C362" s="8"/>
      <c r="D362" s="8" t="str">
        <f t="shared" si="1"/>
        <v/>
      </c>
      <c r="F362" s="8"/>
      <c r="G362" s="8"/>
      <c r="H362" s="8" t="str">
        <f t="shared" si="2"/>
        <v/>
      </c>
      <c r="V362" s="72"/>
      <c r="W362" s="72"/>
      <c r="X362" s="72" t="str">
        <f t="shared" si="3"/>
        <v/>
      </c>
      <c r="Y362" s="72"/>
    </row>
    <row r="363">
      <c r="B363" s="8"/>
      <c r="C363" s="8"/>
      <c r="D363" s="8" t="str">
        <f t="shared" si="1"/>
        <v/>
      </c>
      <c r="F363" s="8"/>
      <c r="G363" s="8"/>
      <c r="H363" s="8" t="str">
        <f t="shared" si="2"/>
        <v/>
      </c>
      <c r="J363" s="89"/>
      <c r="K363" s="82"/>
      <c r="V363" s="72"/>
      <c r="W363" s="72"/>
      <c r="X363" s="72" t="str">
        <f t="shared" si="3"/>
        <v/>
      </c>
      <c r="Y363" s="72"/>
    </row>
    <row r="364">
      <c r="B364" s="8"/>
      <c r="C364" s="8"/>
      <c r="D364" s="8" t="str">
        <f t="shared" si="1"/>
        <v/>
      </c>
      <c r="F364" s="8"/>
      <c r="G364" s="8"/>
      <c r="H364" s="8" t="str">
        <f t="shared" si="2"/>
        <v/>
      </c>
      <c r="V364" s="72"/>
      <c r="W364" s="72"/>
      <c r="X364" s="72" t="str">
        <f t="shared" si="3"/>
        <v/>
      </c>
      <c r="Y364" s="72"/>
    </row>
    <row r="365">
      <c r="B365" s="8"/>
      <c r="C365" s="8"/>
      <c r="D365" s="8" t="str">
        <f t="shared" si="1"/>
        <v/>
      </c>
      <c r="F365" s="8"/>
      <c r="G365" s="8"/>
      <c r="H365" s="8" t="str">
        <f t="shared" si="2"/>
        <v/>
      </c>
      <c r="J365" s="89"/>
      <c r="K365" s="82"/>
      <c r="V365" s="72"/>
      <c r="W365" s="72"/>
      <c r="X365" s="72" t="str">
        <f t="shared" si="3"/>
        <v/>
      </c>
      <c r="Y365" s="72"/>
    </row>
    <row r="366">
      <c r="B366" s="8"/>
      <c r="C366" s="8"/>
      <c r="D366" s="8" t="str">
        <f t="shared" si="1"/>
        <v/>
      </c>
      <c r="F366" s="8"/>
      <c r="G366" s="8"/>
      <c r="H366" s="8" t="str">
        <f t="shared" si="2"/>
        <v/>
      </c>
      <c r="V366" s="72"/>
      <c r="W366" s="72"/>
      <c r="X366" s="72" t="str">
        <f t="shared" si="3"/>
        <v/>
      </c>
      <c r="Y366" s="72"/>
    </row>
    <row r="367">
      <c r="B367" s="8"/>
      <c r="C367" s="8"/>
      <c r="D367" s="8" t="str">
        <f t="shared" si="1"/>
        <v/>
      </c>
      <c r="F367" s="8"/>
      <c r="G367" s="8"/>
      <c r="H367" s="8" t="str">
        <f t="shared" si="2"/>
        <v/>
      </c>
      <c r="J367" s="89"/>
      <c r="K367" s="82"/>
      <c r="V367" s="72"/>
      <c r="W367" s="72"/>
      <c r="X367" s="72" t="str">
        <f t="shared" si="3"/>
        <v/>
      </c>
      <c r="Y367" s="72"/>
    </row>
    <row r="368">
      <c r="B368" s="8"/>
      <c r="C368" s="8"/>
      <c r="D368" s="8" t="str">
        <f t="shared" si="1"/>
        <v/>
      </c>
      <c r="F368" s="8"/>
      <c r="G368" s="8"/>
      <c r="H368" s="8" t="str">
        <f t="shared" si="2"/>
        <v/>
      </c>
      <c r="V368" s="72"/>
      <c r="W368" s="72"/>
      <c r="X368" s="72" t="str">
        <f t="shared" si="3"/>
        <v/>
      </c>
      <c r="Y368" s="72"/>
    </row>
    <row r="369">
      <c r="B369" s="8"/>
      <c r="C369" s="8"/>
      <c r="D369" s="8" t="str">
        <f t="shared" si="1"/>
        <v/>
      </c>
      <c r="F369" s="8"/>
      <c r="G369" s="8"/>
      <c r="H369" s="8" t="str">
        <f t="shared" si="2"/>
        <v/>
      </c>
      <c r="J369" s="89"/>
      <c r="K369" s="82"/>
      <c r="V369" s="72"/>
      <c r="W369" s="72"/>
      <c r="X369" s="72" t="str">
        <f t="shared" si="3"/>
        <v/>
      </c>
      <c r="Y369" s="72"/>
    </row>
    <row r="370">
      <c r="B370" s="8"/>
      <c r="C370" s="8"/>
      <c r="D370" s="8" t="str">
        <f t="shared" si="1"/>
        <v/>
      </c>
      <c r="F370" s="8"/>
      <c r="G370" s="8"/>
      <c r="H370" s="8" t="str">
        <f t="shared" si="2"/>
        <v/>
      </c>
      <c r="V370" s="72"/>
      <c r="W370" s="72"/>
      <c r="X370" s="72" t="str">
        <f t="shared" si="3"/>
        <v/>
      </c>
      <c r="Y370" s="72"/>
    </row>
    <row r="371">
      <c r="B371" s="8"/>
      <c r="C371" s="8"/>
      <c r="D371" s="8" t="str">
        <f t="shared" si="1"/>
        <v/>
      </c>
      <c r="F371" s="8"/>
      <c r="G371" s="8"/>
      <c r="H371" s="8" t="str">
        <f t="shared" si="2"/>
        <v/>
      </c>
      <c r="J371" s="89"/>
      <c r="K371" s="82"/>
      <c r="V371" s="72"/>
      <c r="W371" s="72"/>
      <c r="X371" s="72" t="str">
        <f t="shared" si="3"/>
        <v/>
      </c>
      <c r="Y371" s="72"/>
    </row>
    <row r="372">
      <c r="B372" s="8"/>
      <c r="C372" s="8"/>
      <c r="D372" s="8" t="str">
        <f t="shared" si="1"/>
        <v/>
      </c>
      <c r="F372" s="8"/>
      <c r="G372" s="8"/>
      <c r="H372" s="8" t="str">
        <f t="shared" si="2"/>
        <v/>
      </c>
      <c r="V372" s="72"/>
      <c r="W372" s="72"/>
      <c r="X372" s="72" t="str">
        <f t="shared" si="3"/>
        <v/>
      </c>
      <c r="Y372" s="72"/>
    </row>
    <row r="373">
      <c r="B373" s="8"/>
      <c r="C373" s="8"/>
      <c r="D373" s="8" t="str">
        <f t="shared" si="1"/>
        <v/>
      </c>
      <c r="F373" s="8"/>
      <c r="G373" s="8"/>
      <c r="H373" s="8" t="str">
        <f t="shared" si="2"/>
        <v/>
      </c>
      <c r="J373" s="89"/>
      <c r="K373" s="82"/>
      <c r="V373" s="72"/>
      <c r="W373" s="72"/>
      <c r="X373" s="72" t="str">
        <f t="shared" si="3"/>
        <v/>
      </c>
      <c r="Y373" s="72"/>
    </row>
    <row r="374">
      <c r="B374" s="8"/>
      <c r="C374" s="8"/>
      <c r="D374" s="8" t="str">
        <f t="shared" si="1"/>
        <v/>
      </c>
      <c r="F374" s="8"/>
      <c r="G374" s="8"/>
      <c r="H374" s="8" t="str">
        <f t="shared" si="2"/>
        <v/>
      </c>
      <c r="V374" s="72"/>
      <c r="W374" s="72"/>
      <c r="X374" s="72" t="str">
        <f t="shared" si="3"/>
        <v/>
      </c>
      <c r="Y374" s="72"/>
    </row>
    <row r="375">
      <c r="B375" s="8"/>
      <c r="C375" s="8"/>
      <c r="D375" s="8" t="str">
        <f t="shared" si="1"/>
        <v/>
      </c>
      <c r="F375" s="8"/>
      <c r="G375" s="8"/>
      <c r="H375" s="8" t="str">
        <f t="shared" si="2"/>
        <v/>
      </c>
      <c r="J375" s="89"/>
      <c r="K375" s="82"/>
      <c r="V375" s="72"/>
      <c r="W375" s="72"/>
      <c r="X375" s="72" t="str">
        <f t="shared" si="3"/>
        <v/>
      </c>
      <c r="Y375" s="72"/>
    </row>
    <row r="376">
      <c r="B376" s="8"/>
      <c r="C376" s="8"/>
      <c r="D376" s="8" t="str">
        <f t="shared" si="1"/>
        <v/>
      </c>
      <c r="F376" s="8"/>
      <c r="G376" s="8"/>
      <c r="H376" s="8" t="str">
        <f t="shared" si="2"/>
        <v/>
      </c>
      <c r="V376" s="72"/>
      <c r="W376" s="72"/>
      <c r="X376" s="72" t="str">
        <f t="shared" si="3"/>
        <v/>
      </c>
      <c r="Y376" s="72"/>
    </row>
    <row r="377">
      <c r="B377" s="8"/>
      <c r="C377" s="8"/>
      <c r="D377" s="8" t="str">
        <f t="shared" si="1"/>
        <v/>
      </c>
      <c r="F377" s="8"/>
      <c r="G377" s="8"/>
      <c r="H377" s="8" t="str">
        <f t="shared" si="2"/>
        <v/>
      </c>
      <c r="J377" s="89"/>
      <c r="K377" s="82"/>
      <c r="V377" s="72"/>
      <c r="W377" s="72"/>
      <c r="X377" s="72" t="str">
        <f t="shared" si="3"/>
        <v/>
      </c>
      <c r="Y377" s="72"/>
    </row>
    <row r="378">
      <c r="B378" s="8"/>
      <c r="C378" s="8"/>
      <c r="D378" s="8" t="str">
        <f t="shared" si="1"/>
        <v/>
      </c>
      <c r="F378" s="8"/>
      <c r="G378" s="8"/>
      <c r="H378" s="8" t="str">
        <f t="shared" si="2"/>
        <v/>
      </c>
      <c r="V378" s="72"/>
      <c r="W378" s="72"/>
      <c r="X378" s="72" t="str">
        <f t="shared" si="3"/>
        <v/>
      </c>
      <c r="Y378" s="72"/>
    </row>
    <row r="379">
      <c r="B379" s="8"/>
      <c r="C379" s="8"/>
      <c r="D379" s="8" t="str">
        <f t="shared" si="1"/>
        <v/>
      </c>
      <c r="F379" s="8"/>
      <c r="G379" s="8"/>
      <c r="H379" s="8" t="str">
        <f t="shared" si="2"/>
        <v/>
      </c>
      <c r="J379" s="89"/>
      <c r="K379" s="82"/>
      <c r="V379" s="72"/>
      <c r="W379" s="72"/>
      <c r="X379" s="72" t="str">
        <f t="shared" si="3"/>
        <v/>
      </c>
      <c r="Y379" s="72"/>
    </row>
    <row r="380">
      <c r="B380" s="8"/>
      <c r="C380" s="8"/>
      <c r="D380" s="8" t="str">
        <f t="shared" si="1"/>
        <v/>
      </c>
      <c r="F380" s="8"/>
      <c r="G380" s="8"/>
      <c r="H380" s="8" t="str">
        <f t="shared" si="2"/>
        <v/>
      </c>
      <c r="V380" s="72"/>
      <c r="W380" s="72"/>
      <c r="X380" s="72" t="str">
        <f t="shared" si="3"/>
        <v/>
      </c>
      <c r="Y380" s="72"/>
    </row>
    <row r="381">
      <c r="B381" s="8"/>
      <c r="C381" s="8"/>
      <c r="D381" s="8" t="str">
        <f t="shared" si="1"/>
        <v/>
      </c>
      <c r="F381" s="8"/>
      <c r="G381" s="8"/>
      <c r="H381" s="8" t="str">
        <f t="shared" si="2"/>
        <v/>
      </c>
      <c r="J381" s="89"/>
      <c r="K381" s="82"/>
      <c r="V381" s="72"/>
      <c r="W381" s="72"/>
      <c r="X381" s="72" t="str">
        <f t="shared" si="3"/>
        <v/>
      </c>
      <c r="Y381" s="72"/>
    </row>
    <row r="382">
      <c r="B382" s="8"/>
      <c r="C382" s="8"/>
      <c r="D382" s="8" t="str">
        <f t="shared" si="1"/>
        <v/>
      </c>
      <c r="F382" s="8"/>
      <c r="G382" s="8"/>
      <c r="H382" s="8" t="str">
        <f t="shared" si="2"/>
        <v/>
      </c>
      <c r="V382" s="72"/>
      <c r="W382" s="72"/>
      <c r="X382" s="72" t="str">
        <f t="shared" si="3"/>
        <v/>
      </c>
      <c r="Y382" s="72"/>
    </row>
    <row r="383">
      <c r="B383" s="8"/>
      <c r="C383" s="8"/>
      <c r="D383" s="8" t="str">
        <f t="shared" si="1"/>
        <v/>
      </c>
      <c r="F383" s="8"/>
      <c r="G383" s="8"/>
      <c r="H383" s="8" t="str">
        <f t="shared" si="2"/>
        <v/>
      </c>
      <c r="J383" s="89"/>
      <c r="K383" s="82"/>
      <c r="V383" s="72"/>
      <c r="W383" s="72"/>
      <c r="X383" s="72" t="str">
        <f t="shared" si="3"/>
        <v/>
      </c>
      <c r="Y383" s="72"/>
    </row>
    <row r="384">
      <c r="B384" s="8"/>
      <c r="C384" s="8"/>
      <c r="D384" s="8" t="str">
        <f t="shared" si="1"/>
        <v/>
      </c>
      <c r="F384" s="8"/>
      <c r="G384" s="8"/>
      <c r="H384" s="8" t="str">
        <f t="shared" si="2"/>
        <v/>
      </c>
      <c r="V384" s="72"/>
      <c r="W384" s="72"/>
      <c r="X384" s="72" t="str">
        <f t="shared" si="3"/>
        <v/>
      </c>
      <c r="Y384" s="72"/>
    </row>
    <row r="385">
      <c r="B385" s="8"/>
      <c r="C385" s="8"/>
      <c r="D385" s="8" t="str">
        <f t="shared" si="1"/>
        <v/>
      </c>
      <c r="F385" s="8"/>
      <c r="G385" s="8"/>
      <c r="H385" s="8" t="str">
        <f t="shared" si="2"/>
        <v/>
      </c>
      <c r="J385" s="89"/>
      <c r="K385" s="82"/>
      <c r="V385" s="72"/>
      <c r="W385" s="72"/>
      <c r="X385" s="72" t="str">
        <f t="shared" si="3"/>
        <v/>
      </c>
      <c r="Y385" s="72"/>
    </row>
    <row r="386">
      <c r="B386" s="8"/>
      <c r="C386" s="8"/>
      <c r="D386" s="8" t="str">
        <f t="shared" si="1"/>
        <v/>
      </c>
      <c r="F386" s="8"/>
      <c r="G386" s="8"/>
      <c r="H386" s="8" t="str">
        <f t="shared" si="2"/>
        <v/>
      </c>
      <c r="V386" s="72"/>
      <c r="W386" s="72"/>
      <c r="X386" s="72" t="str">
        <f t="shared" si="3"/>
        <v/>
      </c>
      <c r="Y386" s="72"/>
    </row>
    <row r="387">
      <c r="B387" s="8"/>
      <c r="C387" s="8"/>
      <c r="D387" s="8" t="str">
        <f t="shared" si="1"/>
        <v/>
      </c>
      <c r="F387" s="8"/>
      <c r="G387" s="8"/>
      <c r="H387" s="8" t="str">
        <f t="shared" si="2"/>
        <v/>
      </c>
      <c r="J387" s="89"/>
      <c r="K387" s="82"/>
      <c r="V387" s="72"/>
      <c r="W387" s="72"/>
      <c r="X387" s="72" t="str">
        <f t="shared" si="3"/>
        <v/>
      </c>
      <c r="Y387" s="72"/>
    </row>
    <row r="388">
      <c r="B388" s="8"/>
      <c r="C388" s="8"/>
      <c r="D388" s="8" t="str">
        <f t="shared" si="1"/>
        <v/>
      </c>
      <c r="F388" s="8"/>
      <c r="G388" s="8"/>
      <c r="H388" s="8" t="str">
        <f t="shared" si="2"/>
        <v/>
      </c>
      <c r="V388" s="72"/>
      <c r="W388" s="72"/>
      <c r="X388" s="72" t="str">
        <f t="shared" si="3"/>
        <v/>
      </c>
      <c r="Y388" s="72"/>
    </row>
    <row r="389">
      <c r="B389" s="8"/>
      <c r="C389" s="8"/>
      <c r="D389" s="8" t="str">
        <f t="shared" si="1"/>
        <v/>
      </c>
      <c r="F389" s="8"/>
      <c r="G389" s="8"/>
      <c r="H389" s="8" t="str">
        <f t="shared" si="2"/>
        <v/>
      </c>
      <c r="J389" s="89"/>
      <c r="K389" s="82"/>
      <c r="V389" s="72"/>
      <c r="W389" s="72"/>
      <c r="X389" s="72" t="str">
        <f t="shared" si="3"/>
        <v/>
      </c>
      <c r="Y389" s="72"/>
    </row>
    <row r="390">
      <c r="B390" s="8"/>
      <c r="C390" s="8"/>
      <c r="D390" s="8" t="str">
        <f t="shared" si="1"/>
        <v/>
      </c>
      <c r="F390" s="8"/>
      <c r="G390" s="8"/>
      <c r="H390" s="8" t="str">
        <f t="shared" si="2"/>
        <v/>
      </c>
      <c r="V390" s="72"/>
      <c r="W390" s="72"/>
      <c r="X390" s="72" t="str">
        <f t="shared" si="3"/>
        <v/>
      </c>
      <c r="Y390" s="72"/>
    </row>
    <row r="391">
      <c r="B391" s="8"/>
      <c r="C391" s="8"/>
      <c r="D391" s="8" t="str">
        <f t="shared" si="1"/>
        <v/>
      </c>
      <c r="F391" s="8"/>
      <c r="G391" s="8"/>
      <c r="H391" s="8" t="str">
        <f t="shared" si="2"/>
        <v/>
      </c>
      <c r="J391" s="89"/>
      <c r="K391" s="82"/>
      <c r="V391" s="72"/>
      <c r="W391" s="72"/>
      <c r="X391" s="72" t="str">
        <f t="shared" si="3"/>
        <v/>
      </c>
      <c r="Y391" s="72"/>
    </row>
    <row r="392">
      <c r="B392" s="8"/>
      <c r="C392" s="8"/>
      <c r="D392" s="8" t="str">
        <f t="shared" si="1"/>
        <v/>
      </c>
      <c r="F392" s="8"/>
      <c r="G392" s="8"/>
      <c r="H392" s="8" t="str">
        <f t="shared" si="2"/>
        <v/>
      </c>
      <c r="V392" s="72"/>
      <c r="W392" s="72"/>
      <c r="X392" s="72" t="str">
        <f t="shared" si="3"/>
        <v/>
      </c>
      <c r="Y392" s="72"/>
    </row>
    <row r="393">
      <c r="B393" s="8"/>
      <c r="C393" s="8"/>
      <c r="D393" s="8" t="str">
        <f t="shared" si="1"/>
        <v/>
      </c>
      <c r="F393" s="8"/>
      <c r="G393" s="8"/>
      <c r="H393" s="8" t="str">
        <f t="shared" si="2"/>
        <v/>
      </c>
      <c r="J393" s="89"/>
      <c r="K393" s="82"/>
      <c r="V393" s="72"/>
      <c r="W393" s="72"/>
      <c r="X393" s="72" t="str">
        <f t="shared" si="3"/>
        <v/>
      </c>
      <c r="Y393" s="72"/>
    </row>
    <row r="394">
      <c r="B394" s="8"/>
      <c r="C394" s="8"/>
      <c r="D394" s="8" t="str">
        <f t="shared" si="1"/>
        <v/>
      </c>
      <c r="F394" s="8"/>
      <c r="G394" s="8"/>
      <c r="H394" s="8" t="str">
        <f t="shared" si="2"/>
        <v/>
      </c>
      <c r="V394" s="72"/>
      <c r="W394" s="72"/>
      <c r="X394" s="72" t="str">
        <f t="shared" si="3"/>
        <v/>
      </c>
      <c r="Y394" s="72"/>
    </row>
    <row r="395">
      <c r="B395" s="8"/>
      <c r="C395" s="8"/>
      <c r="D395" s="8" t="str">
        <f t="shared" si="1"/>
        <v/>
      </c>
      <c r="F395" s="8"/>
      <c r="G395" s="8"/>
      <c r="H395" s="8" t="str">
        <f t="shared" si="2"/>
        <v/>
      </c>
      <c r="J395" s="89"/>
      <c r="K395" s="82"/>
      <c r="V395" s="72"/>
      <c r="W395" s="72"/>
      <c r="X395" s="72" t="str">
        <f t="shared" si="3"/>
        <v/>
      </c>
      <c r="Y395" s="72"/>
    </row>
    <row r="396">
      <c r="B396" s="8"/>
      <c r="C396" s="8"/>
      <c r="D396" s="8" t="str">
        <f t="shared" si="1"/>
        <v/>
      </c>
      <c r="F396" s="8"/>
      <c r="G396" s="8"/>
      <c r="H396" s="8" t="str">
        <f t="shared" si="2"/>
        <v/>
      </c>
      <c r="V396" s="72"/>
      <c r="W396" s="72"/>
      <c r="X396" s="72" t="str">
        <f t="shared" si="3"/>
        <v/>
      </c>
      <c r="Y396" s="72"/>
    </row>
    <row r="397">
      <c r="B397" s="8"/>
      <c r="C397" s="8"/>
      <c r="D397" s="8" t="str">
        <f t="shared" si="1"/>
        <v/>
      </c>
      <c r="F397" s="8"/>
      <c r="G397" s="8"/>
      <c r="H397" s="8" t="str">
        <f t="shared" si="2"/>
        <v/>
      </c>
      <c r="J397" s="89"/>
      <c r="K397" s="82"/>
      <c r="V397" s="72"/>
      <c r="W397" s="72"/>
      <c r="X397" s="72" t="str">
        <f t="shared" si="3"/>
        <v/>
      </c>
      <c r="Y397" s="72"/>
    </row>
    <row r="398">
      <c r="B398" s="8"/>
      <c r="C398" s="8"/>
      <c r="D398" s="8" t="str">
        <f t="shared" si="1"/>
        <v/>
      </c>
      <c r="F398" s="8"/>
      <c r="G398" s="8"/>
      <c r="H398" s="8" t="str">
        <f t="shared" si="2"/>
        <v/>
      </c>
      <c r="V398" s="72"/>
      <c r="W398" s="72"/>
      <c r="X398" s="72" t="str">
        <f t="shared" si="3"/>
        <v/>
      </c>
      <c r="Y398" s="72"/>
    </row>
    <row r="399">
      <c r="B399" s="8"/>
      <c r="C399" s="8"/>
      <c r="D399" s="8" t="str">
        <f t="shared" si="1"/>
        <v/>
      </c>
      <c r="F399" s="8"/>
      <c r="G399" s="8"/>
      <c r="H399" s="8" t="str">
        <f t="shared" si="2"/>
        <v/>
      </c>
      <c r="J399" s="89"/>
      <c r="K399" s="82"/>
      <c r="V399" s="72"/>
      <c r="W399" s="72"/>
      <c r="X399" s="72" t="str">
        <f t="shared" si="3"/>
        <v/>
      </c>
      <c r="Y399" s="72"/>
    </row>
    <row r="400">
      <c r="B400" s="8"/>
      <c r="C400" s="8"/>
      <c r="D400" s="8" t="str">
        <f t="shared" si="1"/>
        <v/>
      </c>
      <c r="F400" s="8"/>
      <c r="G400" s="8"/>
      <c r="H400" s="8" t="str">
        <f t="shared" si="2"/>
        <v/>
      </c>
      <c r="V400" s="72"/>
      <c r="W400" s="72"/>
      <c r="X400" s="72" t="str">
        <f t="shared" si="3"/>
        <v/>
      </c>
      <c r="Y400" s="72"/>
    </row>
    <row r="401">
      <c r="B401" s="8"/>
      <c r="C401" s="8"/>
      <c r="D401" s="8" t="str">
        <f t="shared" si="1"/>
        <v/>
      </c>
      <c r="F401" s="8"/>
      <c r="G401" s="8"/>
      <c r="H401" s="8" t="str">
        <f t="shared" si="2"/>
        <v/>
      </c>
      <c r="J401" s="89"/>
      <c r="K401" s="82"/>
      <c r="V401" s="72"/>
      <c r="W401" s="72"/>
      <c r="X401" s="72" t="str">
        <f t="shared" si="3"/>
        <v/>
      </c>
      <c r="Y401" s="72"/>
    </row>
    <row r="402">
      <c r="B402" s="8"/>
      <c r="C402" s="8"/>
      <c r="D402" s="8" t="str">
        <f t="shared" si="1"/>
        <v/>
      </c>
      <c r="F402" s="8"/>
      <c r="G402" s="8"/>
      <c r="H402" s="8" t="str">
        <f t="shared" si="2"/>
        <v/>
      </c>
      <c r="V402" s="72"/>
      <c r="W402" s="72"/>
      <c r="X402" s="72" t="str">
        <f t="shared" si="3"/>
        <v/>
      </c>
      <c r="Y402" s="72"/>
    </row>
    <row r="403">
      <c r="B403" s="8"/>
      <c r="C403" s="8"/>
      <c r="D403" s="8" t="str">
        <f t="shared" si="1"/>
        <v/>
      </c>
      <c r="F403" s="8"/>
      <c r="G403" s="8"/>
      <c r="H403" s="8" t="str">
        <f t="shared" si="2"/>
        <v/>
      </c>
      <c r="J403" s="89"/>
      <c r="K403" s="82"/>
      <c r="V403" s="72"/>
      <c r="W403" s="72"/>
      <c r="X403" s="72" t="str">
        <f t="shared" si="3"/>
        <v/>
      </c>
      <c r="Y403" s="72"/>
    </row>
    <row r="404">
      <c r="B404" s="8"/>
      <c r="C404" s="8"/>
      <c r="D404" s="8" t="str">
        <f t="shared" si="1"/>
        <v/>
      </c>
      <c r="F404" s="8"/>
      <c r="G404" s="8"/>
      <c r="H404" s="8" t="str">
        <f t="shared" si="2"/>
        <v/>
      </c>
      <c r="V404" s="72"/>
      <c r="W404" s="72"/>
      <c r="X404" s="72" t="str">
        <f t="shared" si="3"/>
        <v/>
      </c>
      <c r="Y404" s="72"/>
    </row>
    <row r="405">
      <c r="B405" s="8"/>
      <c r="C405" s="8"/>
      <c r="D405" s="8" t="str">
        <f t="shared" si="1"/>
        <v/>
      </c>
      <c r="F405" s="8"/>
      <c r="G405" s="8"/>
      <c r="H405" s="8" t="str">
        <f t="shared" si="2"/>
        <v/>
      </c>
      <c r="J405" s="89"/>
      <c r="K405" s="82"/>
      <c r="V405" s="72"/>
      <c r="W405" s="72"/>
      <c r="X405" s="72" t="str">
        <f t="shared" si="3"/>
        <v/>
      </c>
      <c r="Y405" s="72"/>
    </row>
    <row r="406">
      <c r="B406" s="8"/>
      <c r="C406" s="8"/>
      <c r="D406" s="8" t="str">
        <f t="shared" si="1"/>
        <v/>
      </c>
      <c r="F406" s="8"/>
      <c r="G406" s="8"/>
      <c r="H406" s="8" t="str">
        <f t="shared" si="2"/>
        <v/>
      </c>
      <c r="V406" s="72"/>
      <c r="W406" s="72"/>
      <c r="X406" s="72" t="str">
        <f t="shared" si="3"/>
        <v/>
      </c>
      <c r="Y406" s="72"/>
    </row>
    <row r="407">
      <c r="B407" s="8"/>
      <c r="C407" s="8"/>
      <c r="D407" s="8" t="str">
        <f t="shared" si="1"/>
        <v/>
      </c>
      <c r="F407" s="8"/>
      <c r="G407" s="8"/>
      <c r="H407" s="8" t="str">
        <f t="shared" si="2"/>
        <v/>
      </c>
      <c r="J407" s="89"/>
      <c r="K407" s="82"/>
      <c r="V407" s="72"/>
      <c r="W407" s="72"/>
      <c r="X407" s="72" t="str">
        <f t="shared" si="3"/>
        <v/>
      </c>
      <c r="Y407" s="72"/>
    </row>
    <row r="408">
      <c r="B408" s="8"/>
      <c r="C408" s="8"/>
      <c r="D408" s="8" t="str">
        <f t="shared" si="1"/>
        <v/>
      </c>
      <c r="F408" s="8"/>
      <c r="G408" s="8"/>
      <c r="H408" s="8" t="str">
        <f t="shared" si="2"/>
        <v/>
      </c>
      <c r="V408" s="72"/>
      <c r="W408" s="72"/>
      <c r="X408" s="72" t="str">
        <f t="shared" si="3"/>
        <v/>
      </c>
      <c r="Y408" s="72"/>
    </row>
    <row r="409">
      <c r="B409" s="8"/>
      <c r="C409" s="8"/>
      <c r="D409" s="8" t="str">
        <f t="shared" si="1"/>
        <v/>
      </c>
      <c r="F409" s="8"/>
      <c r="G409" s="8"/>
      <c r="H409" s="8" t="str">
        <f t="shared" si="2"/>
        <v/>
      </c>
      <c r="J409" s="89"/>
      <c r="K409" s="82"/>
      <c r="V409" s="72"/>
      <c r="W409" s="72"/>
      <c r="X409" s="72" t="str">
        <f t="shared" si="3"/>
        <v/>
      </c>
      <c r="Y409" s="72"/>
    </row>
    <row r="410">
      <c r="B410" s="8"/>
      <c r="C410" s="8"/>
      <c r="D410" s="8" t="str">
        <f t="shared" si="1"/>
        <v/>
      </c>
      <c r="F410" s="8"/>
      <c r="G410" s="8"/>
      <c r="H410" s="8" t="str">
        <f t="shared" si="2"/>
        <v/>
      </c>
      <c r="V410" s="72"/>
      <c r="W410" s="72"/>
      <c r="X410" s="72" t="str">
        <f t="shared" si="3"/>
        <v/>
      </c>
      <c r="Y410" s="72"/>
    </row>
    <row r="411">
      <c r="B411" s="8"/>
      <c r="C411" s="8"/>
      <c r="D411" s="8" t="str">
        <f t="shared" si="1"/>
        <v/>
      </c>
      <c r="F411" s="8"/>
      <c r="G411" s="8"/>
      <c r="H411" s="8" t="str">
        <f t="shared" si="2"/>
        <v/>
      </c>
      <c r="J411" s="89"/>
      <c r="K411" s="82"/>
      <c r="V411" s="72"/>
      <c r="W411" s="72"/>
      <c r="X411" s="72" t="str">
        <f t="shared" si="3"/>
        <v/>
      </c>
      <c r="Y411" s="72"/>
    </row>
    <row r="412">
      <c r="B412" s="8"/>
      <c r="C412" s="8"/>
      <c r="D412" s="8" t="str">
        <f t="shared" si="1"/>
        <v/>
      </c>
      <c r="F412" s="8"/>
      <c r="G412" s="8"/>
      <c r="H412" s="8" t="str">
        <f t="shared" si="2"/>
        <v/>
      </c>
      <c r="V412" s="72"/>
      <c r="W412" s="72"/>
      <c r="X412" s="72" t="str">
        <f t="shared" si="3"/>
        <v/>
      </c>
      <c r="Y412" s="72"/>
    </row>
    <row r="413">
      <c r="B413" s="8"/>
      <c r="C413" s="8"/>
      <c r="D413" s="8" t="str">
        <f t="shared" si="1"/>
        <v/>
      </c>
      <c r="F413" s="8"/>
      <c r="G413" s="8"/>
      <c r="H413" s="8" t="str">
        <f t="shared" si="2"/>
        <v/>
      </c>
      <c r="J413" s="89"/>
      <c r="K413" s="82"/>
      <c r="V413" s="72"/>
      <c r="W413" s="72"/>
      <c r="X413" s="72" t="str">
        <f t="shared" si="3"/>
        <v/>
      </c>
      <c r="Y413" s="72"/>
    </row>
    <row r="414">
      <c r="B414" s="8"/>
      <c r="C414" s="8"/>
      <c r="D414" s="8" t="str">
        <f t="shared" si="1"/>
        <v/>
      </c>
      <c r="F414" s="8"/>
      <c r="G414" s="8"/>
      <c r="H414" s="8" t="str">
        <f t="shared" si="2"/>
        <v/>
      </c>
      <c r="V414" s="72"/>
      <c r="W414" s="72"/>
      <c r="X414" s="72" t="str">
        <f t="shared" si="3"/>
        <v/>
      </c>
      <c r="Y414" s="72"/>
    </row>
    <row r="415">
      <c r="B415" s="8"/>
      <c r="C415" s="8"/>
      <c r="D415" s="8" t="str">
        <f t="shared" si="1"/>
        <v/>
      </c>
      <c r="F415" s="8"/>
      <c r="G415" s="8"/>
      <c r="H415" s="8" t="str">
        <f t="shared" si="2"/>
        <v/>
      </c>
      <c r="J415" s="89"/>
      <c r="K415" s="82"/>
      <c r="V415" s="72"/>
      <c r="W415" s="72"/>
      <c r="X415" s="72" t="str">
        <f t="shared" si="3"/>
        <v/>
      </c>
      <c r="Y415" s="72"/>
    </row>
    <row r="416">
      <c r="B416" s="8"/>
      <c r="C416" s="8"/>
      <c r="D416" s="8" t="str">
        <f t="shared" si="1"/>
        <v/>
      </c>
      <c r="F416" s="8"/>
      <c r="G416" s="8"/>
      <c r="H416" s="8" t="str">
        <f t="shared" si="2"/>
        <v/>
      </c>
      <c r="V416" s="72"/>
      <c r="W416" s="72"/>
      <c r="X416" s="72" t="str">
        <f t="shared" si="3"/>
        <v/>
      </c>
      <c r="Y416" s="72"/>
    </row>
    <row r="417">
      <c r="B417" s="8"/>
      <c r="C417" s="8"/>
      <c r="D417" s="8" t="str">
        <f t="shared" si="1"/>
        <v/>
      </c>
      <c r="F417" s="8"/>
      <c r="G417" s="8"/>
      <c r="H417" s="8" t="str">
        <f t="shared" si="2"/>
        <v/>
      </c>
      <c r="J417" s="89"/>
      <c r="K417" s="82"/>
      <c r="V417" s="72"/>
      <c r="W417" s="72"/>
      <c r="X417" s="72" t="str">
        <f t="shared" si="3"/>
        <v/>
      </c>
      <c r="Y417" s="72"/>
    </row>
    <row r="418">
      <c r="B418" s="8"/>
      <c r="C418" s="8"/>
      <c r="D418" s="8" t="str">
        <f t="shared" si="1"/>
        <v/>
      </c>
      <c r="F418" s="8"/>
      <c r="G418" s="8"/>
      <c r="H418" s="8" t="str">
        <f t="shared" si="2"/>
        <v/>
      </c>
      <c r="V418" s="72"/>
      <c r="W418" s="72"/>
      <c r="X418" s="72" t="str">
        <f t="shared" si="3"/>
        <v/>
      </c>
      <c r="Y418" s="72"/>
    </row>
    <row r="419">
      <c r="B419" s="8"/>
      <c r="C419" s="8"/>
      <c r="D419" s="8" t="str">
        <f t="shared" si="1"/>
        <v/>
      </c>
      <c r="F419" s="8"/>
      <c r="G419" s="8"/>
      <c r="H419" s="8" t="str">
        <f t="shared" si="2"/>
        <v/>
      </c>
      <c r="J419" s="89"/>
      <c r="K419" s="82"/>
      <c r="V419" s="72"/>
      <c r="W419" s="72"/>
      <c r="X419" s="72" t="str">
        <f t="shared" si="3"/>
        <v/>
      </c>
      <c r="Y419" s="72"/>
    </row>
    <row r="420">
      <c r="B420" s="8"/>
      <c r="C420" s="8"/>
      <c r="D420" s="8" t="str">
        <f t="shared" si="1"/>
        <v/>
      </c>
      <c r="F420" s="8"/>
      <c r="G420" s="8"/>
      <c r="H420" s="8" t="str">
        <f t="shared" si="2"/>
        <v/>
      </c>
      <c r="V420" s="72"/>
      <c r="W420" s="72"/>
      <c r="X420" s="72" t="str">
        <f t="shared" si="3"/>
        <v/>
      </c>
      <c r="Y420" s="72"/>
    </row>
    <row r="421">
      <c r="B421" s="8"/>
      <c r="C421" s="8"/>
      <c r="D421" s="8" t="str">
        <f t="shared" si="1"/>
        <v/>
      </c>
      <c r="F421" s="8"/>
      <c r="G421" s="8"/>
      <c r="H421" s="8" t="str">
        <f t="shared" si="2"/>
        <v/>
      </c>
      <c r="J421" s="89"/>
      <c r="K421" s="82"/>
      <c r="V421" s="72"/>
      <c r="W421" s="72"/>
      <c r="X421" s="72" t="str">
        <f t="shared" si="3"/>
        <v/>
      </c>
      <c r="Y421" s="72"/>
    </row>
    <row r="422">
      <c r="B422" s="8"/>
      <c r="C422" s="8"/>
      <c r="D422" s="8" t="str">
        <f t="shared" si="1"/>
        <v/>
      </c>
      <c r="F422" s="8"/>
      <c r="G422" s="8"/>
      <c r="H422" s="8" t="str">
        <f t="shared" si="2"/>
        <v/>
      </c>
      <c r="V422" s="72"/>
      <c r="W422" s="72"/>
      <c r="X422" s="72" t="str">
        <f t="shared" si="3"/>
        <v/>
      </c>
      <c r="Y422" s="72"/>
    </row>
    <row r="423">
      <c r="B423" s="8"/>
      <c r="C423" s="8"/>
      <c r="D423" s="8" t="str">
        <f t="shared" si="1"/>
        <v/>
      </c>
      <c r="F423" s="8"/>
      <c r="G423" s="8"/>
      <c r="H423" s="8" t="str">
        <f t="shared" si="2"/>
        <v/>
      </c>
      <c r="J423" s="89"/>
      <c r="K423" s="82"/>
      <c r="V423" s="72"/>
      <c r="W423" s="72"/>
      <c r="X423" s="72" t="str">
        <f t="shared" si="3"/>
        <v/>
      </c>
      <c r="Y423" s="72"/>
    </row>
    <row r="424">
      <c r="B424" s="8"/>
      <c r="C424" s="8"/>
      <c r="D424" s="8" t="str">
        <f t="shared" si="1"/>
        <v/>
      </c>
      <c r="F424" s="8"/>
      <c r="G424" s="8"/>
      <c r="H424" s="8" t="str">
        <f t="shared" si="2"/>
        <v/>
      </c>
      <c r="V424" s="72"/>
      <c r="W424" s="72"/>
      <c r="X424" s="72" t="str">
        <f t="shared" si="3"/>
        <v/>
      </c>
      <c r="Y424" s="72"/>
    </row>
    <row r="425">
      <c r="B425" s="8"/>
      <c r="C425" s="8"/>
      <c r="D425" s="8" t="str">
        <f t="shared" si="1"/>
        <v/>
      </c>
      <c r="F425" s="8"/>
      <c r="G425" s="8"/>
      <c r="H425" s="8" t="str">
        <f t="shared" si="2"/>
        <v/>
      </c>
      <c r="J425" s="89"/>
      <c r="K425" s="82"/>
      <c r="V425" s="72"/>
      <c r="W425" s="72"/>
      <c r="X425" s="72" t="str">
        <f t="shared" si="3"/>
        <v/>
      </c>
      <c r="Y425" s="72"/>
    </row>
    <row r="426">
      <c r="B426" s="8"/>
      <c r="C426" s="8"/>
      <c r="D426" s="8" t="str">
        <f t="shared" si="1"/>
        <v/>
      </c>
      <c r="F426" s="8"/>
      <c r="G426" s="8"/>
      <c r="H426" s="8" t="str">
        <f t="shared" si="2"/>
        <v/>
      </c>
      <c r="V426" s="72"/>
      <c r="W426" s="72"/>
      <c r="X426" s="72" t="str">
        <f t="shared" si="3"/>
        <v/>
      </c>
      <c r="Y426" s="72"/>
    </row>
    <row r="427">
      <c r="B427" s="8"/>
      <c r="C427" s="8"/>
      <c r="D427" s="8" t="str">
        <f t="shared" si="1"/>
        <v/>
      </c>
      <c r="F427" s="8"/>
      <c r="G427" s="8"/>
      <c r="H427" s="8" t="str">
        <f t="shared" si="2"/>
        <v/>
      </c>
      <c r="J427" s="89"/>
      <c r="K427" s="82"/>
      <c r="V427" s="72"/>
      <c r="W427" s="72"/>
      <c r="X427" s="72" t="str">
        <f t="shared" si="3"/>
        <v/>
      </c>
      <c r="Y427" s="72"/>
    </row>
    <row r="428">
      <c r="B428" s="8"/>
      <c r="C428" s="8"/>
      <c r="D428" s="8" t="str">
        <f t="shared" si="1"/>
        <v/>
      </c>
      <c r="F428" s="8"/>
      <c r="G428" s="8"/>
      <c r="H428" s="8" t="str">
        <f t="shared" si="2"/>
        <v/>
      </c>
      <c r="V428" s="72"/>
      <c r="W428" s="72"/>
      <c r="X428" s="72" t="str">
        <f t="shared" si="3"/>
        <v/>
      </c>
      <c r="Y428" s="72"/>
    </row>
    <row r="429">
      <c r="B429" s="8"/>
      <c r="C429" s="8"/>
      <c r="D429" s="8" t="str">
        <f t="shared" si="1"/>
        <v/>
      </c>
      <c r="F429" s="8"/>
      <c r="G429" s="8"/>
      <c r="H429" s="8" t="str">
        <f t="shared" si="2"/>
        <v/>
      </c>
      <c r="J429" s="89"/>
      <c r="K429" s="82"/>
      <c r="V429" s="72"/>
      <c r="W429" s="72"/>
      <c r="X429" s="72" t="str">
        <f t="shared" si="3"/>
        <v/>
      </c>
      <c r="Y429" s="72"/>
    </row>
    <row r="430">
      <c r="B430" s="8"/>
      <c r="C430" s="8"/>
      <c r="D430" s="8" t="str">
        <f t="shared" si="1"/>
        <v/>
      </c>
      <c r="F430" s="8"/>
      <c r="G430" s="8"/>
      <c r="H430" s="8" t="str">
        <f t="shared" si="2"/>
        <v/>
      </c>
      <c r="V430" s="72"/>
      <c r="W430" s="72"/>
      <c r="X430" s="72" t="str">
        <f t="shared" si="3"/>
        <v/>
      </c>
      <c r="Y430" s="72"/>
    </row>
    <row r="431">
      <c r="B431" s="8"/>
      <c r="C431" s="8"/>
      <c r="D431" s="8" t="str">
        <f t="shared" si="1"/>
        <v/>
      </c>
      <c r="F431" s="8"/>
      <c r="G431" s="8"/>
      <c r="H431" s="8" t="str">
        <f t="shared" si="2"/>
        <v/>
      </c>
      <c r="J431" s="89"/>
      <c r="K431" s="82"/>
      <c r="V431" s="72"/>
      <c r="W431" s="72"/>
      <c r="X431" s="72" t="str">
        <f t="shared" si="3"/>
        <v/>
      </c>
      <c r="Y431" s="72"/>
    </row>
    <row r="432">
      <c r="B432" s="8"/>
      <c r="C432" s="8"/>
      <c r="D432" s="8" t="str">
        <f t="shared" si="1"/>
        <v/>
      </c>
      <c r="F432" s="8"/>
      <c r="G432" s="8"/>
      <c r="H432" s="8" t="str">
        <f t="shared" si="2"/>
        <v/>
      </c>
      <c r="V432" s="72"/>
      <c r="W432" s="72"/>
      <c r="X432" s="72" t="str">
        <f t="shared" si="3"/>
        <v/>
      </c>
      <c r="Y432" s="72"/>
    </row>
    <row r="433">
      <c r="B433" s="8"/>
      <c r="C433" s="8"/>
      <c r="D433" s="8" t="str">
        <f t="shared" si="1"/>
        <v/>
      </c>
      <c r="F433" s="8"/>
      <c r="G433" s="8"/>
      <c r="H433" s="8" t="str">
        <f t="shared" si="2"/>
        <v/>
      </c>
      <c r="J433" s="89"/>
      <c r="K433" s="82"/>
      <c r="V433" s="72"/>
      <c r="W433" s="72"/>
      <c r="X433" s="72" t="str">
        <f t="shared" si="3"/>
        <v/>
      </c>
      <c r="Y433" s="72"/>
    </row>
    <row r="434">
      <c r="B434" s="8"/>
      <c r="C434" s="8"/>
      <c r="D434" s="8" t="str">
        <f t="shared" si="1"/>
        <v/>
      </c>
      <c r="F434" s="8"/>
      <c r="G434" s="8"/>
      <c r="H434" s="8" t="str">
        <f t="shared" si="2"/>
        <v/>
      </c>
      <c r="V434" s="72"/>
      <c r="W434" s="72"/>
      <c r="X434" s="72" t="str">
        <f t="shared" si="3"/>
        <v/>
      </c>
      <c r="Y434" s="72"/>
    </row>
    <row r="435">
      <c r="B435" s="8"/>
      <c r="C435" s="8"/>
      <c r="D435" s="8" t="str">
        <f t="shared" si="1"/>
        <v/>
      </c>
      <c r="F435" s="8"/>
      <c r="G435" s="8"/>
      <c r="H435" s="8" t="str">
        <f t="shared" si="2"/>
        <v/>
      </c>
      <c r="J435" s="89"/>
      <c r="K435" s="82"/>
      <c r="V435" s="72"/>
      <c r="W435" s="72"/>
      <c r="X435" s="72" t="str">
        <f t="shared" si="3"/>
        <v/>
      </c>
      <c r="Y435" s="72"/>
    </row>
    <row r="436">
      <c r="B436" s="8"/>
      <c r="C436" s="8"/>
      <c r="D436" s="8" t="str">
        <f t="shared" si="1"/>
        <v/>
      </c>
      <c r="F436" s="8"/>
      <c r="G436" s="8"/>
      <c r="H436" s="8" t="str">
        <f t="shared" si="2"/>
        <v/>
      </c>
      <c r="V436" s="72"/>
      <c r="W436" s="72"/>
      <c r="X436" s="72" t="str">
        <f t="shared" si="3"/>
        <v/>
      </c>
      <c r="Y436" s="72"/>
    </row>
    <row r="437">
      <c r="B437" s="8"/>
      <c r="C437" s="8"/>
      <c r="D437" s="8" t="str">
        <f t="shared" si="1"/>
        <v/>
      </c>
      <c r="F437" s="8"/>
      <c r="G437" s="8"/>
      <c r="H437" s="8" t="str">
        <f t="shared" si="2"/>
        <v/>
      </c>
      <c r="J437" s="89"/>
      <c r="K437" s="82"/>
      <c r="V437" s="72"/>
      <c r="W437" s="72"/>
      <c r="X437" s="72" t="str">
        <f t="shared" si="3"/>
        <v/>
      </c>
      <c r="Y437" s="72"/>
    </row>
    <row r="438">
      <c r="B438" s="8"/>
      <c r="C438" s="8"/>
      <c r="D438" s="8" t="str">
        <f t="shared" si="1"/>
        <v/>
      </c>
      <c r="F438" s="8"/>
      <c r="G438" s="8"/>
      <c r="H438" s="8" t="str">
        <f t="shared" si="2"/>
        <v/>
      </c>
      <c r="V438" s="72"/>
      <c r="W438" s="72"/>
      <c r="X438" s="72" t="str">
        <f t="shared" si="3"/>
        <v/>
      </c>
      <c r="Y438" s="72"/>
    </row>
    <row r="439">
      <c r="B439" s="8"/>
      <c r="C439" s="8"/>
      <c r="D439" s="8" t="str">
        <f t="shared" si="1"/>
        <v/>
      </c>
      <c r="F439" s="8"/>
      <c r="G439" s="8"/>
      <c r="H439" s="8" t="str">
        <f t="shared" si="2"/>
        <v/>
      </c>
      <c r="J439" s="89"/>
      <c r="K439" s="82"/>
      <c r="V439" s="72"/>
      <c r="W439" s="72"/>
      <c r="X439" s="72" t="str">
        <f t="shared" si="3"/>
        <v/>
      </c>
      <c r="Y439" s="72"/>
    </row>
    <row r="440">
      <c r="B440" s="8"/>
      <c r="C440" s="8"/>
      <c r="D440" s="8" t="str">
        <f t="shared" si="1"/>
        <v/>
      </c>
      <c r="F440" s="8"/>
      <c r="G440" s="8"/>
      <c r="H440" s="8" t="str">
        <f t="shared" si="2"/>
        <v/>
      </c>
      <c r="V440" s="72"/>
      <c r="W440" s="72"/>
      <c r="X440" s="72" t="str">
        <f t="shared" si="3"/>
        <v/>
      </c>
      <c r="Y440" s="72"/>
    </row>
    <row r="441">
      <c r="B441" s="8"/>
      <c r="C441" s="8"/>
      <c r="D441" s="8" t="str">
        <f t="shared" si="1"/>
        <v/>
      </c>
      <c r="F441" s="8"/>
      <c r="G441" s="8"/>
      <c r="H441" s="8" t="str">
        <f t="shared" si="2"/>
        <v/>
      </c>
      <c r="J441" s="89"/>
      <c r="K441" s="82"/>
      <c r="V441" s="72"/>
      <c r="W441" s="72"/>
      <c r="X441" s="72" t="str">
        <f t="shared" si="3"/>
        <v/>
      </c>
      <c r="Y441" s="72"/>
    </row>
    <row r="442">
      <c r="B442" s="8"/>
      <c r="C442" s="8"/>
      <c r="D442" s="8" t="str">
        <f t="shared" si="1"/>
        <v/>
      </c>
      <c r="F442" s="8"/>
      <c r="G442" s="8"/>
      <c r="H442" s="8" t="str">
        <f t="shared" si="2"/>
        <v/>
      </c>
      <c r="V442" s="72"/>
      <c r="W442" s="72"/>
      <c r="X442" s="72" t="str">
        <f t="shared" si="3"/>
        <v/>
      </c>
      <c r="Y442" s="72"/>
    </row>
    <row r="443">
      <c r="B443" s="8"/>
      <c r="C443" s="8"/>
      <c r="D443" s="8" t="str">
        <f t="shared" si="1"/>
        <v/>
      </c>
      <c r="F443" s="8"/>
      <c r="G443" s="8"/>
      <c r="H443" s="8" t="str">
        <f t="shared" si="2"/>
        <v/>
      </c>
      <c r="J443" s="89"/>
      <c r="K443" s="82"/>
      <c r="V443" s="72"/>
      <c r="W443" s="72"/>
      <c r="X443" s="72" t="str">
        <f t="shared" si="3"/>
        <v/>
      </c>
      <c r="Y443" s="72"/>
    </row>
    <row r="444">
      <c r="B444" s="8"/>
      <c r="C444" s="8"/>
      <c r="D444" s="8" t="str">
        <f t="shared" si="1"/>
        <v/>
      </c>
      <c r="F444" s="8"/>
      <c r="G444" s="8"/>
      <c r="H444" s="8" t="str">
        <f t="shared" si="2"/>
        <v/>
      </c>
      <c r="V444" s="72"/>
      <c r="W444" s="72"/>
      <c r="X444" s="72" t="str">
        <f t="shared" si="3"/>
        <v/>
      </c>
      <c r="Y444" s="72"/>
    </row>
    <row r="445">
      <c r="B445" s="8"/>
      <c r="C445" s="8"/>
      <c r="D445" s="8" t="str">
        <f t="shared" si="1"/>
        <v/>
      </c>
      <c r="F445" s="8"/>
      <c r="G445" s="8"/>
      <c r="H445" s="8" t="str">
        <f t="shared" si="2"/>
        <v/>
      </c>
      <c r="J445" s="89"/>
      <c r="K445" s="82"/>
      <c r="V445" s="72"/>
      <c r="W445" s="72"/>
      <c r="X445" s="72" t="str">
        <f t="shared" si="3"/>
        <v/>
      </c>
      <c r="Y445" s="72"/>
    </row>
    <row r="446">
      <c r="B446" s="8"/>
      <c r="C446" s="8"/>
      <c r="D446" s="8" t="str">
        <f t="shared" si="1"/>
        <v/>
      </c>
      <c r="F446" s="8"/>
      <c r="G446" s="8"/>
      <c r="H446" s="8" t="str">
        <f t="shared" si="2"/>
        <v/>
      </c>
      <c r="V446" s="72"/>
      <c r="W446" s="72"/>
      <c r="X446" s="72" t="str">
        <f t="shared" si="3"/>
        <v/>
      </c>
      <c r="Y446" s="72"/>
    </row>
    <row r="447">
      <c r="B447" s="8"/>
      <c r="C447" s="8"/>
      <c r="D447" s="8" t="str">
        <f t="shared" si="1"/>
        <v/>
      </c>
      <c r="F447" s="8"/>
      <c r="G447" s="8"/>
      <c r="H447" s="8" t="str">
        <f t="shared" si="2"/>
        <v/>
      </c>
      <c r="J447" s="89"/>
      <c r="K447" s="82"/>
      <c r="V447" s="72"/>
      <c r="W447" s="72"/>
      <c r="X447" s="72" t="str">
        <f t="shared" si="3"/>
        <v/>
      </c>
      <c r="Y447" s="72"/>
    </row>
    <row r="448">
      <c r="B448" s="8"/>
      <c r="C448" s="8"/>
      <c r="D448" s="8" t="str">
        <f t="shared" si="1"/>
        <v/>
      </c>
      <c r="F448" s="8"/>
      <c r="G448" s="8"/>
      <c r="H448" s="8" t="str">
        <f t="shared" si="2"/>
        <v/>
      </c>
      <c r="V448" s="72"/>
      <c r="W448" s="72"/>
      <c r="X448" s="72" t="str">
        <f t="shared" si="3"/>
        <v/>
      </c>
      <c r="Y448" s="72"/>
    </row>
    <row r="449">
      <c r="B449" s="8"/>
      <c r="C449" s="8"/>
      <c r="D449" s="8" t="str">
        <f t="shared" si="1"/>
        <v/>
      </c>
      <c r="F449" s="8"/>
      <c r="G449" s="8"/>
      <c r="H449" s="8" t="str">
        <f t="shared" si="2"/>
        <v/>
      </c>
      <c r="J449" s="89"/>
      <c r="K449" s="82"/>
      <c r="V449" s="72"/>
      <c r="W449" s="72"/>
      <c r="X449" s="72" t="str">
        <f t="shared" si="3"/>
        <v/>
      </c>
      <c r="Y449" s="72"/>
    </row>
    <row r="450">
      <c r="B450" s="8"/>
      <c r="C450" s="8"/>
      <c r="D450" s="8" t="str">
        <f t="shared" si="1"/>
        <v/>
      </c>
      <c r="F450" s="8"/>
      <c r="G450" s="8"/>
      <c r="H450" s="8" t="str">
        <f t="shared" si="2"/>
        <v/>
      </c>
      <c r="V450" s="72"/>
      <c r="W450" s="72"/>
      <c r="X450" s="72" t="str">
        <f t="shared" si="3"/>
        <v/>
      </c>
      <c r="Y450" s="72"/>
    </row>
    <row r="451">
      <c r="B451" s="8"/>
      <c r="C451" s="8"/>
      <c r="D451" s="8" t="str">
        <f t="shared" si="1"/>
        <v/>
      </c>
      <c r="F451" s="8"/>
      <c r="G451" s="8"/>
      <c r="H451" s="8" t="str">
        <f t="shared" si="2"/>
        <v/>
      </c>
      <c r="J451" s="89"/>
      <c r="K451" s="82"/>
      <c r="V451" s="72"/>
      <c r="W451" s="72"/>
      <c r="X451" s="72" t="str">
        <f t="shared" si="3"/>
        <v/>
      </c>
      <c r="Y451" s="72"/>
    </row>
    <row r="452">
      <c r="B452" s="8"/>
      <c r="C452" s="8"/>
      <c r="D452" s="8" t="str">
        <f t="shared" si="1"/>
        <v/>
      </c>
      <c r="F452" s="8"/>
      <c r="G452" s="8"/>
      <c r="H452" s="8" t="str">
        <f t="shared" si="2"/>
        <v/>
      </c>
      <c r="V452" s="72"/>
      <c r="W452" s="72"/>
      <c r="X452" s="72" t="str">
        <f t="shared" si="3"/>
        <v/>
      </c>
      <c r="Y452" s="72"/>
    </row>
    <row r="453">
      <c r="B453" s="8"/>
      <c r="C453" s="8"/>
      <c r="D453" s="8" t="str">
        <f t="shared" si="1"/>
        <v/>
      </c>
      <c r="F453" s="8"/>
      <c r="G453" s="8"/>
      <c r="H453" s="8" t="str">
        <f t="shared" si="2"/>
        <v/>
      </c>
      <c r="J453" s="89"/>
      <c r="K453" s="82"/>
      <c r="V453" s="72"/>
      <c r="W453" s="72"/>
      <c r="X453" s="72" t="str">
        <f t="shared" si="3"/>
        <v/>
      </c>
      <c r="Y453" s="72"/>
    </row>
    <row r="454">
      <c r="B454" s="8"/>
      <c r="C454" s="8"/>
      <c r="D454" s="8" t="str">
        <f t="shared" si="1"/>
        <v/>
      </c>
      <c r="F454" s="8"/>
      <c r="G454" s="8"/>
      <c r="H454" s="8" t="str">
        <f t="shared" si="2"/>
        <v/>
      </c>
      <c r="V454" s="72"/>
      <c r="W454" s="72"/>
      <c r="X454" s="72" t="str">
        <f t="shared" si="3"/>
        <v/>
      </c>
      <c r="Y454" s="72"/>
    </row>
    <row r="455">
      <c r="B455" s="8"/>
      <c r="C455" s="8"/>
      <c r="D455" s="8" t="str">
        <f t="shared" si="1"/>
        <v/>
      </c>
      <c r="F455" s="8"/>
      <c r="G455" s="8"/>
      <c r="H455" s="8" t="str">
        <f t="shared" si="2"/>
        <v/>
      </c>
      <c r="J455" s="89"/>
      <c r="K455" s="82"/>
      <c r="V455" s="72"/>
      <c r="W455" s="72"/>
      <c r="X455" s="72" t="str">
        <f t="shared" si="3"/>
        <v/>
      </c>
      <c r="Y455" s="72"/>
    </row>
    <row r="456">
      <c r="B456" s="8"/>
      <c r="C456" s="8"/>
      <c r="D456" s="8" t="str">
        <f t="shared" si="1"/>
        <v/>
      </c>
      <c r="F456" s="8"/>
      <c r="G456" s="8"/>
      <c r="H456" s="8" t="str">
        <f t="shared" si="2"/>
        <v/>
      </c>
      <c r="V456" s="72"/>
      <c r="W456" s="72"/>
      <c r="X456" s="72" t="str">
        <f t="shared" si="3"/>
        <v/>
      </c>
      <c r="Y456" s="72"/>
    </row>
    <row r="457">
      <c r="B457" s="8"/>
      <c r="C457" s="8"/>
      <c r="D457" s="8" t="str">
        <f t="shared" si="1"/>
        <v/>
      </c>
      <c r="F457" s="8"/>
      <c r="G457" s="8"/>
      <c r="H457" s="8" t="str">
        <f t="shared" si="2"/>
        <v/>
      </c>
      <c r="J457" s="89"/>
      <c r="K457" s="82"/>
      <c r="V457" s="72"/>
      <c r="W457" s="72"/>
      <c r="X457" s="72" t="str">
        <f t="shared" si="3"/>
        <v/>
      </c>
      <c r="Y457" s="72"/>
    </row>
    <row r="458">
      <c r="B458" s="8"/>
      <c r="C458" s="8"/>
      <c r="D458" s="8" t="str">
        <f t="shared" si="1"/>
        <v/>
      </c>
      <c r="F458" s="8"/>
      <c r="G458" s="8"/>
      <c r="H458" s="8" t="str">
        <f t="shared" si="2"/>
        <v/>
      </c>
      <c r="V458" s="72"/>
      <c r="W458" s="72"/>
      <c r="X458" s="72" t="str">
        <f t="shared" si="3"/>
        <v/>
      </c>
      <c r="Y458" s="72"/>
    </row>
    <row r="459">
      <c r="B459" s="8"/>
      <c r="C459" s="8"/>
      <c r="D459" s="8" t="str">
        <f t="shared" si="1"/>
        <v/>
      </c>
      <c r="F459" s="8"/>
      <c r="G459" s="8"/>
      <c r="H459" s="8" t="str">
        <f t="shared" si="2"/>
        <v/>
      </c>
      <c r="J459" s="89"/>
      <c r="K459" s="82"/>
      <c r="V459" s="72"/>
      <c r="W459" s="72"/>
      <c r="X459" s="72" t="str">
        <f t="shared" si="3"/>
        <v/>
      </c>
      <c r="Y459" s="72"/>
    </row>
    <row r="460">
      <c r="B460" s="8"/>
      <c r="C460" s="8"/>
      <c r="D460" s="8" t="str">
        <f t="shared" si="1"/>
        <v/>
      </c>
      <c r="F460" s="8"/>
      <c r="G460" s="8"/>
      <c r="H460" s="8" t="str">
        <f t="shared" si="2"/>
        <v/>
      </c>
      <c r="V460" s="72"/>
      <c r="W460" s="72"/>
      <c r="X460" s="72" t="str">
        <f t="shared" si="3"/>
        <v/>
      </c>
      <c r="Y460" s="72"/>
    </row>
    <row r="461">
      <c r="B461" s="8"/>
      <c r="C461" s="8"/>
      <c r="D461" s="8" t="str">
        <f t="shared" si="1"/>
        <v/>
      </c>
      <c r="F461" s="8"/>
      <c r="G461" s="8"/>
      <c r="H461" s="8" t="str">
        <f t="shared" si="2"/>
        <v/>
      </c>
      <c r="J461" s="89"/>
      <c r="K461" s="82"/>
      <c r="V461" s="72"/>
      <c r="W461" s="72"/>
      <c r="X461" s="72" t="str">
        <f t="shared" si="3"/>
        <v/>
      </c>
      <c r="Y461" s="72"/>
    </row>
    <row r="462">
      <c r="B462" s="8"/>
      <c r="C462" s="8"/>
      <c r="D462" s="8" t="str">
        <f t="shared" si="1"/>
        <v/>
      </c>
      <c r="F462" s="8"/>
      <c r="G462" s="8"/>
      <c r="H462" s="8" t="str">
        <f t="shared" si="2"/>
        <v/>
      </c>
      <c r="V462" s="72"/>
      <c r="W462" s="72"/>
      <c r="X462" s="72" t="str">
        <f t="shared" si="3"/>
        <v/>
      </c>
      <c r="Y462" s="72"/>
    </row>
    <row r="463">
      <c r="B463" s="8"/>
      <c r="C463" s="8"/>
      <c r="D463" s="8" t="str">
        <f t="shared" si="1"/>
        <v/>
      </c>
      <c r="F463" s="8"/>
      <c r="G463" s="8"/>
      <c r="H463" s="8" t="str">
        <f t="shared" si="2"/>
        <v/>
      </c>
      <c r="J463" s="89"/>
      <c r="K463" s="82"/>
      <c r="V463" s="72"/>
      <c r="W463" s="72"/>
      <c r="X463" s="72" t="str">
        <f t="shared" si="3"/>
        <v/>
      </c>
      <c r="Y463" s="72"/>
    </row>
    <row r="464">
      <c r="B464" s="8"/>
      <c r="C464" s="8"/>
      <c r="D464" s="8" t="str">
        <f t="shared" si="1"/>
        <v/>
      </c>
      <c r="F464" s="8"/>
      <c r="G464" s="8"/>
      <c r="H464" s="8" t="str">
        <f t="shared" si="2"/>
        <v/>
      </c>
      <c r="V464" s="72"/>
      <c r="W464" s="72"/>
      <c r="X464" s="72" t="str">
        <f t="shared" si="3"/>
        <v/>
      </c>
      <c r="Y464" s="72"/>
    </row>
    <row r="465">
      <c r="B465" s="8"/>
      <c r="C465" s="8"/>
      <c r="D465" s="8" t="str">
        <f t="shared" si="1"/>
        <v/>
      </c>
      <c r="F465" s="8"/>
      <c r="G465" s="8"/>
      <c r="H465" s="8" t="str">
        <f t="shared" si="2"/>
        <v/>
      </c>
      <c r="J465" s="89"/>
      <c r="K465" s="82"/>
      <c r="V465" s="72"/>
      <c r="W465" s="72"/>
      <c r="X465" s="72" t="str">
        <f t="shared" si="3"/>
        <v/>
      </c>
      <c r="Y465" s="72"/>
    </row>
    <row r="466">
      <c r="B466" s="8"/>
      <c r="C466" s="8"/>
      <c r="D466" s="8" t="str">
        <f t="shared" si="1"/>
        <v/>
      </c>
      <c r="F466" s="8"/>
      <c r="G466" s="8"/>
      <c r="H466" s="8" t="str">
        <f t="shared" si="2"/>
        <v/>
      </c>
      <c r="V466" s="72"/>
      <c r="W466" s="72"/>
      <c r="X466" s="72" t="str">
        <f t="shared" si="3"/>
        <v/>
      </c>
      <c r="Y466" s="72"/>
    </row>
    <row r="467">
      <c r="B467" s="8"/>
      <c r="C467" s="8"/>
      <c r="D467" s="8" t="str">
        <f t="shared" si="1"/>
        <v/>
      </c>
      <c r="F467" s="8"/>
      <c r="G467" s="8"/>
      <c r="H467" s="8" t="str">
        <f t="shared" si="2"/>
        <v/>
      </c>
      <c r="J467" s="89"/>
      <c r="K467" s="82"/>
      <c r="V467" s="72"/>
      <c r="W467" s="72"/>
      <c r="X467" s="72" t="str">
        <f t="shared" si="3"/>
        <v/>
      </c>
      <c r="Y467" s="72"/>
    </row>
    <row r="468">
      <c r="B468" s="8"/>
      <c r="C468" s="8"/>
      <c r="D468" s="8" t="str">
        <f t="shared" si="1"/>
        <v/>
      </c>
      <c r="F468" s="8"/>
      <c r="G468" s="8"/>
      <c r="H468" s="8" t="str">
        <f t="shared" si="2"/>
        <v/>
      </c>
      <c r="V468" s="72"/>
      <c r="W468" s="72"/>
      <c r="X468" s="72" t="str">
        <f t="shared" si="3"/>
        <v/>
      </c>
      <c r="Y468" s="72"/>
    </row>
    <row r="469">
      <c r="B469" s="8"/>
      <c r="C469" s="8"/>
      <c r="D469" s="8" t="str">
        <f t="shared" si="1"/>
        <v/>
      </c>
      <c r="F469" s="8"/>
      <c r="G469" s="8"/>
      <c r="H469" s="8" t="str">
        <f t="shared" si="2"/>
        <v/>
      </c>
      <c r="J469" s="89"/>
      <c r="K469" s="82"/>
      <c r="V469" s="72"/>
      <c r="W469" s="72"/>
      <c r="X469" s="72" t="str">
        <f t="shared" si="3"/>
        <v/>
      </c>
      <c r="Y469" s="72"/>
    </row>
    <row r="470">
      <c r="B470" s="8"/>
      <c r="C470" s="8"/>
      <c r="D470" s="8" t="str">
        <f t="shared" si="1"/>
        <v/>
      </c>
      <c r="F470" s="8"/>
      <c r="G470" s="8"/>
      <c r="H470" s="8" t="str">
        <f t="shared" si="2"/>
        <v/>
      </c>
      <c r="V470" s="72"/>
      <c r="W470" s="72"/>
      <c r="X470" s="72" t="str">
        <f t="shared" si="3"/>
        <v/>
      </c>
      <c r="Y470" s="72"/>
    </row>
    <row r="471">
      <c r="B471" s="8"/>
      <c r="C471" s="8"/>
      <c r="D471" s="8" t="str">
        <f t="shared" si="1"/>
        <v/>
      </c>
      <c r="F471" s="8"/>
      <c r="G471" s="8"/>
      <c r="H471" s="8" t="str">
        <f t="shared" si="2"/>
        <v/>
      </c>
      <c r="J471" s="89"/>
      <c r="K471" s="82"/>
      <c r="V471" s="72"/>
      <c r="W471" s="72"/>
      <c r="X471" s="72" t="str">
        <f t="shared" si="3"/>
        <v/>
      </c>
      <c r="Y471" s="72"/>
    </row>
    <row r="472">
      <c r="B472" s="8"/>
      <c r="C472" s="8"/>
      <c r="D472" s="8" t="str">
        <f t="shared" si="1"/>
        <v/>
      </c>
      <c r="F472" s="8"/>
      <c r="G472" s="8"/>
      <c r="H472" s="8" t="str">
        <f t="shared" si="2"/>
        <v/>
      </c>
      <c r="V472" s="72"/>
      <c r="W472" s="72"/>
      <c r="X472" s="72" t="str">
        <f t="shared" si="3"/>
        <v/>
      </c>
      <c r="Y472" s="72"/>
    </row>
    <row r="473">
      <c r="B473" s="8"/>
      <c r="C473" s="8"/>
      <c r="D473" s="8" t="str">
        <f t="shared" si="1"/>
        <v/>
      </c>
      <c r="F473" s="8"/>
      <c r="G473" s="8"/>
      <c r="H473" s="8" t="str">
        <f t="shared" si="2"/>
        <v/>
      </c>
      <c r="J473" s="89"/>
      <c r="K473" s="82"/>
      <c r="V473" s="72"/>
      <c r="W473" s="72"/>
      <c r="X473" s="72" t="str">
        <f t="shared" si="3"/>
        <v/>
      </c>
      <c r="Y473" s="72"/>
    </row>
    <row r="474">
      <c r="B474" s="8"/>
      <c r="C474" s="8"/>
      <c r="D474" s="8" t="str">
        <f t="shared" si="1"/>
        <v/>
      </c>
      <c r="F474" s="8"/>
      <c r="G474" s="8"/>
      <c r="H474" s="8" t="str">
        <f t="shared" si="2"/>
        <v/>
      </c>
      <c r="V474" s="72"/>
      <c r="W474" s="72"/>
      <c r="X474" s="72" t="str">
        <f t="shared" si="3"/>
        <v/>
      </c>
      <c r="Y474" s="72"/>
    </row>
    <row r="475">
      <c r="B475" s="8"/>
      <c r="C475" s="8"/>
      <c r="D475" s="8" t="str">
        <f t="shared" si="1"/>
        <v/>
      </c>
      <c r="F475" s="8"/>
      <c r="G475" s="8"/>
      <c r="H475" s="8" t="str">
        <f t="shared" si="2"/>
        <v/>
      </c>
      <c r="J475" s="89"/>
      <c r="K475" s="82"/>
      <c r="V475" s="72"/>
      <c r="W475" s="72"/>
      <c r="X475" s="72" t="str">
        <f t="shared" si="3"/>
        <v/>
      </c>
      <c r="Y475" s="72"/>
    </row>
    <row r="476">
      <c r="B476" s="8"/>
      <c r="C476" s="8"/>
      <c r="D476" s="8" t="str">
        <f t="shared" si="1"/>
        <v/>
      </c>
      <c r="F476" s="8"/>
      <c r="G476" s="8"/>
      <c r="H476" s="8" t="str">
        <f t="shared" si="2"/>
        <v/>
      </c>
      <c r="V476" s="72"/>
      <c r="W476" s="72"/>
      <c r="X476" s="72" t="str">
        <f t="shared" si="3"/>
        <v/>
      </c>
      <c r="Y476" s="72"/>
    </row>
    <row r="477">
      <c r="B477" s="8"/>
      <c r="C477" s="8"/>
      <c r="D477" s="8" t="str">
        <f t="shared" si="1"/>
        <v/>
      </c>
      <c r="F477" s="8"/>
      <c r="G477" s="8"/>
      <c r="H477" s="8" t="str">
        <f t="shared" si="2"/>
        <v/>
      </c>
      <c r="J477" s="89"/>
      <c r="K477" s="82"/>
      <c r="V477" s="72"/>
      <c r="W477" s="72"/>
      <c r="X477" s="72" t="str">
        <f t="shared" si="3"/>
        <v/>
      </c>
      <c r="Y477" s="72"/>
    </row>
    <row r="478">
      <c r="B478" s="8"/>
      <c r="C478" s="8"/>
      <c r="D478" s="8" t="str">
        <f t="shared" si="1"/>
        <v/>
      </c>
      <c r="F478" s="8"/>
      <c r="G478" s="8"/>
      <c r="H478" s="8" t="str">
        <f t="shared" si="2"/>
        <v/>
      </c>
      <c r="V478" s="72"/>
      <c r="W478" s="72"/>
      <c r="X478" s="72" t="str">
        <f t="shared" si="3"/>
        <v/>
      </c>
      <c r="Y478" s="72"/>
    </row>
    <row r="479">
      <c r="B479" s="8"/>
      <c r="C479" s="8"/>
      <c r="D479" s="8" t="str">
        <f t="shared" si="1"/>
        <v/>
      </c>
      <c r="F479" s="8"/>
      <c r="G479" s="8"/>
      <c r="H479" s="8" t="str">
        <f t="shared" si="2"/>
        <v/>
      </c>
      <c r="J479" s="89"/>
      <c r="K479" s="82"/>
      <c r="V479" s="72"/>
      <c r="W479" s="72"/>
      <c r="X479" s="72" t="str">
        <f t="shared" si="3"/>
        <v/>
      </c>
      <c r="Y479" s="72"/>
    </row>
    <row r="480">
      <c r="B480" s="8"/>
      <c r="C480" s="8"/>
      <c r="D480" s="8" t="str">
        <f t="shared" si="1"/>
        <v/>
      </c>
      <c r="F480" s="8"/>
      <c r="G480" s="8"/>
      <c r="H480" s="8" t="str">
        <f t="shared" si="2"/>
        <v/>
      </c>
      <c r="V480" s="72"/>
      <c r="W480" s="72"/>
      <c r="X480" s="72" t="str">
        <f t="shared" si="3"/>
        <v/>
      </c>
      <c r="Y480" s="72"/>
    </row>
    <row r="481">
      <c r="B481" s="8"/>
      <c r="C481" s="8"/>
      <c r="D481" s="8" t="str">
        <f t="shared" si="1"/>
        <v/>
      </c>
      <c r="F481" s="8"/>
      <c r="G481" s="8"/>
      <c r="H481" s="8" t="str">
        <f t="shared" si="2"/>
        <v/>
      </c>
      <c r="J481" s="89"/>
      <c r="K481" s="82"/>
      <c r="V481" s="72"/>
      <c r="W481" s="72"/>
      <c r="X481" s="72" t="str">
        <f t="shared" si="3"/>
        <v/>
      </c>
      <c r="Y481" s="72"/>
    </row>
    <row r="482">
      <c r="B482" s="8"/>
      <c r="C482" s="8"/>
      <c r="D482" s="8" t="str">
        <f t="shared" si="1"/>
        <v/>
      </c>
      <c r="F482" s="8"/>
      <c r="G482" s="8"/>
      <c r="H482" s="8" t="str">
        <f t="shared" si="2"/>
        <v/>
      </c>
      <c r="V482" s="72"/>
      <c r="W482" s="72"/>
      <c r="X482" s="72" t="str">
        <f t="shared" si="3"/>
        <v/>
      </c>
      <c r="Y482" s="72"/>
    </row>
    <row r="483">
      <c r="B483" s="8"/>
      <c r="C483" s="8"/>
      <c r="D483" s="8" t="str">
        <f t="shared" si="1"/>
        <v/>
      </c>
      <c r="F483" s="8"/>
      <c r="G483" s="8"/>
      <c r="H483" s="8" t="str">
        <f t="shared" si="2"/>
        <v/>
      </c>
      <c r="J483" s="89"/>
      <c r="K483" s="82"/>
      <c r="V483" s="72"/>
      <c r="W483" s="72"/>
      <c r="X483" s="72" t="str">
        <f t="shared" si="3"/>
        <v/>
      </c>
      <c r="Y483" s="72"/>
    </row>
    <row r="484">
      <c r="B484" s="8"/>
      <c r="C484" s="8"/>
      <c r="D484" s="8" t="str">
        <f t="shared" si="1"/>
        <v/>
      </c>
      <c r="F484" s="8"/>
      <c r="G484" s="8"/>
      <c r="H484" s="8" t="str">
        <f t="shared" si="2"/>
        <v/>
      </c>
      <c r="V484" s="72"/>
      <c r="W484" s="72"/>
      <c r="X484" s="72" t="str">
        <f t="shared" si="3"/>
        <v/>
      </c>
      <c r="Y484" s="72"/>
    </row>
    <row r="485">
      <c r="B485" s="8"/>
      <c r="C485" s="8"/>
      <c r="D485" s="8" t="str">
        <f t="shared" si="1"/>
        <v/>
      </c>
      <c r="F485" s="8"/>
      <c r="G485" s="8"/>
      <c r="H485" s="8" t="str">
        <f t="shared" si="2"/>
        <v/>
      </c>
      <c r="J485" s="89"/>
      <c r="K485" s="82"/>
      <c r="V485" s="72"/>
      <c r="W485" s="72"/>
      <c r="X485" s="72" t="str">
        <f t="shared" si="3"/>
        <v/>
      </c>
      <c r="Y485" s="72"/>
    </row>
    <row r="486">
      <c r="B486" s="8"/>
      <c r="C486" s="8"/>
      <c r="D486" s="8" t="str">
        <f t="shared" si="1"/>
        <v/>
      </c>
      <c r="F486" s="8"/>
      <c r="G486" s="8"/>
      <c r="H486" s="8" t="str">
        <f t="shared" si="2"/>
        <v/>
      </c>
      <c r="V486" s="72"/>
      <c r="W486" s="72"/>
      <c r="X486" s="72" t="str">
        <f t="shared" si="3"/>
        <v/>
      </c>
      <c r="Y486" s="72"/>
    </row>
    <row r="487">
      <c r="B487" s="8"/>
      <c r="C487" s="8"/>
      <c r="D487" s="8" t="str">
        <f t="shared" si="1"/>
        <v/>
      </c>
      <c r="F487" s="8"/>
      <c r="G487" s="8"/>
      <c r="H487" s="8" t="str">
        <f t="shared" si="2"/>
        <v/>
      </c>
      <c r="J487" s="89"/>
      <c r="K487" s="82"/>
      <c r="V487" s="72"/>
      <c r="W487" s="72"/>
      <c r="X487" s="72" t="str">
        <f t="shared" si="3"/>
        <v/>
      </c>
      <c r="Y487" s="72"/>
    </row>
    <row r="488">
      <c r="B488" s="8"/>
      <c r="C488" s="8"/>
      <c r="D488" s="8" t="str">
        <f t="shared" si="1"/>
        <v/>
      </c>
      <c r="F488" s="8"/>
      <c r="G488" s="8"/>
      <c r="H488" s="8" t="str">
        <f t="shared" si="2"/>
        <v/>
      </c>
      <c r="V488" s="72"/>
      <c r="W488" s="72"/>
      <c r="X488" s="72" t="str">
        <f t="shared" si="3"/>
        <v/>
      </c>
      <c r="Y488" s="72"/>
    </row>
    <row r="489">
      <c r="B489" s="8"/>
      <c r="C489" s="8"/>
      <c r="D489" s="8" t="str">
        <f t="shared" si="1"/>
        <v/>
      </c>
      <c r="F489" s="8"/>
      <c r="G489" s="8"/>
      <c r="H489" s="8" t="str">
        <f t="shared" si="2"/>
        <v/>
      </c>
      <c r="J489" s="89"/>
      <c r="K489" s="82"/>
      <c r="V489" s="72"/>
      <c r="W489" s="72"/>
      <c r="X489" s="72" t="str">
        <f t="shared" si="3"/>
        <v/>
      </c>
      <c r="Y489" s="72"/>
    </row>
    <row r="490">
      <c r="B490" s="8"/>
      <c r="C490" s="8"/>
      <c r="D490" s="8" t="str">
        <f t="shared" si="1"/>
        <v/>
      </c>
      <c r="F490" s="8"/>
      <c r="G490" s="8"/>
      <c r="H490" s="8" t="str">
        <f t="shared" si="2"/>
        <v/>
      </c>
      <c r="V490" s="72"/>
      <c r="W490" s="72"/>
      <c r="X490" s="72" t="str">
        <f t="shared" si="3"/>
        <v/>
      </c>
      <c r="Y490" s="72"/>
    </row>
    <row r="491">
      <c r="B491" s="8"/>
      <c r="C491" s="8"/>
      <c r="D491" s="8" t="str">
        <f t="shared" si="1"/>
        <v/>
      </c>
      <c r="F491" s="8"/>
      <c r="G491" s="8"/>
      <c r="H491" s="8" t="str">
        <f t="shared" si="2"/>
        <v/>
      </c>
      <c r="J491" s="89"/>
      <c r="K491" s="82"/>
      <c r="V491" s="72"/>
      <c r="W491" s="72"/>
      <c r="X491" s="72" t="str">
        <f t="shared" si="3"/>
        <v/>
      </c>
      <c r="Y491" s="72"/>
    </row>
    <row r="492">
      <c r="B492" s="8"/>
      <c r="C492" s="8"/>
      <c r="D492" s="8" t="str">
        <f t="shared" si="1"/>
        <v/>
      </c>
      <c r="F492" s="8"/>
      <c r="G492" s="8"/>
      <c r="H492" s="8" t="str">
        <f t="shared" si="2"/>
        <v/>
      </c>
      <c r="V492" s="72"/>
      <c r="W492" s="72"/>
      <c r="X492" s="72" t="str">
        <f t="shared" si="3"/>
        <v/>
      </c>
      <c r="Y492" s="72"/>
    </row>
    <row r="493">
      <c r="B493" s="8"/>
      <c r="C493" s="8"/>
      <c r="D493" s="8" t="str">
        <f t="shared" si="1"/>
        <v/>
      </c>
      <c r="F493" s="8"/>
      <c r="G493" s="8"/>
      <c r="H493" s="8" t="str">
        <f t="shared" si="2"/>
        <v/>
      </c>
      <c r="J493" s="89"/>
      <c r="K493" s="82"/>
      <c r="V493" s="72"/>
      <c r="W493" s="72"/>
      <c r="X493" s="72" t="str">
        <f t="shared" si="3"/>
        <v/>
      </c>
      <c r="Y493" s="72"/>
    </row>
    <row r="494">
      <c r="B494" s="8"/>
      <c r="C494" s="8"/>
      <c r="D494" s="8" t="str">
        <f t="shared" si="1"/>
        <v/>
      </c>
      <c r="F494" s="8"/>
      <c r="G494" s="8"/>
      <c r="H494" s="8" t="str">
        <f t="shared" si="2"/>
        <v/>
      </c>
      <c r="V494" s="72"/>
      <c r="W494" s="72"/>
      <c r="X494" s="72" t="str">
        <f t="shared" si="3"/>
        <v/>
      </c>
      <c r="Y494" s="72"/>
    </row>
    <row r="495">
      <c r="B495" s="1"/>
      <c r="C495" s="1"/>
      <c r="D495" s="1" t="str">
        <f t="shared" si="1"/>
        <v/>
      </c>
      <c r="F495" s="1"/>
      <c r="G495" s="1"/>
      <c r="H495" s="1" t="str">
        <f t="shared" si="2"/>
        <v/>
      </c>
      <c r="J495" s="238"/>
      <c r="V495" s="72"/>
      <c r="W495" s="72"/>
      <c r="X495" s="72" t="str">
        <f t="shared" si="3"/>
        <v/>
      </c>
      <c r="Y495" s="72"/>
    </row>
    <row r="496">
      <c r="B496" s="1"/>
      <c r="C496" s="1"/>
      <c r="D496" s="1" t="str">
        <f t="shared" si="1"/>
        <v/>
      </c>
      <c r="F496" s="1"/>
      <c r="G496" s="1"/>
      <c r="H496" s="1" t="str">
        <f t="shared" si="2"/>
        <v/>
      </c>
      <c r="J496" s="70" t="s">
        <v>6</v>
      </c>
      <c r="K496" s="70" t="s">
        <v>78</v>
      </c>
      <c r="L496" s="70" t="s">
        <v>110</v>
      </c>
      <c r="M496" s="70" t="s">
        <v>6</v>
      </c>
      <c r="N496" s="70" t="s">
        <v>78</v>
      </c>
      <c r="O496" s="70" t="s">
        <v>110</v>
      </c>
      <c r="P496" s="72" t="s">
        <v>6</v>
      </c>
      <c r="Q496" s="72" t="s">
        <v>78</v>
      </c>
      <c r="R496" s="72" t="s">
        <v>110</v>
      </c>
      <c r="S496" s="70" t="s">
        <v>277</v>
      </c>
      <c r="V496" s="72"/>
      <c r="W496" s="72"/>
      <c r="X496" s="72" t="str">
        <f t="shared" si="3"/>
        <v/>
      </c>
      <c r="Y496" s="72"/>
    </row>
    <row r="497">
      <c r="B497" s="1"/>
      <c r="C497" s="1"/>
      <c r="D497" s="1" t="str">
        <f t="shared" si="1"/>
        <v/>
      </c>
      <c r="F497" s="1"/>
      <c r="G497" s="1"/>
      <c r="H497" s="1" t="str">
        <f t="shared" si="2"/>
        <v/>
      </c>
      <c r="J497" s="72" t="str">
        <f>IFERROR(__xludf.DUMMYFUNCTION("FILTER('Character Sheet'!X27:X49,'Character Sheet'!X27:X49&lt;&gt;"""")"),"Select Skill")</f>
        <v>Select Skill</v>
      </c>
      <c r="K497" s="72">
        <f>IFERROR(__xludf.DUMMYFUNCTION("FILTER('Character Sheet'!Y27:Y49,'Character Sheet'!Y27:Y49&lt;&gt;"""",'Character Sheet'!Y27:Y49&lt;&gt;0)"),"1")</f>
        <v>1</v>
      </c>
      <c r="L497" s="72">
        <f t="shared" ref="L497:L519" si="6">VLOOKUP(K497,$S$497:$T$527,2,TRUE)</f>
        <v>1</v>
      </c>
      <c r="M497" s="72" t="str">
        <f t="shared" ref="M497:N497" si="4">IFERROR(__xludf.DUMMYFUNCTION("FILTER(B3:B1000,B3:B1000&lt;&gt;"""")"),"#N/A")</f>
        <v>#N/A</v>
      </c>
      <c r="N497" s="72" t="str">
        <f t="shared" si="4"/>
        <v>#N/A</v>
      </c>
      <c r="O497" s="72" t="str">
        <f t="shared" ref="O497:O611" si="7">VLOOKUP(N497,$S$497:$T$527,2,TRUE)</f>
        <v>#N/A</v>
      </c>
      <c r="P497" s="72" t="str">
        <f t="shared" ref="P497:Q497" si="5">IFERROR(__xludf.DUMMYFUNCTION("FILTER(F3:F1000,F3:F1000&lt;&gt;"""")"),"#N/A")</f>
        <v>#N/A</v>
      </c>
      <c r="Q497" s="72" t="str">
        <f t="shared" si="5"/>
        <v>#N/A</v>
      </c>
      <c r="R497" s="72" t="str">
        <f t="shared" ref="R497:R611" si="8">VLOOKUP(Q497,$S$497:$T$527,2,TRUE)</f>
        <v>#N/A</v>
      </c>
      <c r="S497" s="251">
        <v>-36.0</v>
      </c>
      <c r="T497" s="251">
        <v>-8.0</v>
      </c>
      <c r="V497" s="252"/>
      <c r="W497" s="252"/>
      <c r="X497" s="72" t="str">
        <f t="shared" si="3"/>
        <v/>
      </c>
      <c r="Y497" s="72"/>
    </row>
    <row r="498">
      <c r="B498" s="1"/>
      <c r="C498" s="1"/>
      <c r="D498" s="1" t="str">
        <f t="shared" si="1"/>
        <v/>
      </c>
      <c r="F498" s="1"/>
      <c r="G498" s="1"/>
      <c r="H498" s="1" t="str">
        <f t="shared" si="2"/>
        <v/>
      </c>
      <c r="J498" s="72"/>
      <c r="K498" s="72"/>
      <c r="L498" s="72">
        <f t="shared" si="6"/>
        <v>0</v>
      </c>
      <c r="M498" s="72"/>
      <c r="N498" s="72"/>
      <c r="O498" s="72">
        <f t="shared" si="7"/>
        <v>0</v>
      </c>
      <c r="P498" s="72"/>
      <c r="Q498" s="72"/>
      <c r="R498" s="72">
        <f t="shared" si="8"/>
        <v>0</v>
      </c>
      <c r="S498" s="251">
        <v>-28.0</v>
      </c>
      <c r="T498" s="251">
        <v>-7.0</v>
      </c>
      <c r="V498" s="72"/>
      <c r="W498" s="72"/>
      <c r="X498" s="72" t="str">
        <f t="shared" si="3"/>
        <v/>
      </c>
      <c r="Y498" s="72"/>
    </row>
    <row r="499">
      <c r="B499" s="1"/>
      <c r="C499" s="1"/>
      <c r="D499" s="1" t="str">
        <f t="shared" si="1"/>
        <v/>
      </c>
      <c r="F499" s="1"/>
      <c r="G499" s="1"/>
      <c r="H499" s="1" t="str">
        <f t="shared" si="2"/>
        <v/>
      </c>
      <c r="J499" s="72"/>
      <c r="K499" s="72"/>
      <c r="L499" s="72">
        <f t="shared" si="6"/>
        <v>0</v>
      </c>
      <c r="M499" s="72"/>
      <c r="N499" s="72"/>
      <c r="O499" s="72">
        <f t="shared" si="7"/>
        <v>0</v>
      </c>
      <c r="P499" s="72"/>
      <c r="Q499" s="72"/>
      <c r="R499" s="72">
        <f t="shared" si="8"/>
        <v>0</v>
      </c>
      <c r="S499" s="251">
        <v>-21.0</v>
      </c>
      <c r="T499" s="251">
        <v>-6.0</v>
      </c>
      <c r="V499" s="72"/>
      <c r="W499" s="72"/>
      <c r="X499" s="72" t="str">
        <f t="shared" si="3"/>
        <v/>
      </c>
      <c r="Y499" s="72"/>
    </row>
    <row r="500">
      <c r="B500" s="1"/>
      <c r="C500" s="1"/>
      <c r="D500" s="1" t="str">
        <f t="shared" si="1"/>
        <v/>
      </c>
      <c r="F500" s="1"/>
      <c r="G500" s="1"/>
      <c r="H500" s="1" t="str">
        <f t="shared" si="2"/>
        <v/>
      </c>
      <c r="J500" s="72"/>
      <c r="K500" s="72"/>
      <c r="L500" s="72">
        <f t="shared" si="6"/>
        <v>0</v>
      </c>
      <c r="M500" s="72"/>
      <c r="N500" s="72"/>
      <c r="O500" s="72">
        <f t="shared" si="7"/>
        <v>0</v>
      </c>
      <c r="P500" s="72"/>
      <c r="Q500" s="72"/>
      <c r="R500" s="72">
        <f t="shared" si="8"/>
        <v>0</v>
      </c>
      <c r="S500" s="251">
        <v>-15.0</v>
      </c>
      <c r="T500" s="251">
        <v>-5.0</v>
      </c>
      <c r="V500" s="72"/>
      <c r="W500" s="72"/>
      <c r="X500" s="72" t="str">
        <f t="shared" si="3"/>
        <v/>
      </c>
      <c r="Y500" s="72"/>
    </row>
    <row r="501">
      <c r="B501" s="1"/>
      <c r="C501" s="1"/>
      <c r="D501" s="1" t="str">
        <f t="shared" si="1"/>
        <v/>
      </c>
      <c r="F501" s="1"/>
      <c r="G501" s="1"/>
      <c r="H501" s="1" t="str">
        <f t="shared" si="2"/>
        <v/>
      </c>
      <c r="J501" s="72"/>
      <c r="K501" s="72"/>
      <c r="L501" s="72">
        <f t="shared" si="6"/>
        <v>0</v>
      </c>
      <c r="M501" s="72"/>
      <c r="N501" s="72"/>
      <c r="O501" s="72">
        <f t="shared" si="7"/>
        <v>0</v>
      </c>
      <c r="P501" s="72"/>
      <c r="Q501" s="72"/>
      <c r="R501" s="72">
        <f t="shared" si="8"/>
        <v>0</v>
      </c>
      <c r="S501" s="251">
        <v>-10.0</v>
      </c>
      <c r="T501" s="251">
        <v>-4.0</v>
      </c>
      <c r="V501" s="72"/>
      <c r="W501" s="72"/>
      <c r="X501" s="72" t="str">
        <f t="shared" si="3"/>
        <v/>
      </c>
      <c r="Y501" s="72"/>
    </row>
    <row r="502">
      <c r="B502" s="1"/>
      <c r="C502" s="1"/>
      <c r="D502" s="1" t="str">
        <f t="shared" si="1"/>
        <v/>
      </c>
      <c r="F502" s="1"/>
      <c r="G502" s="1"/>
      <c r="H502" s="1" t="str">
        <f t="shared" si="2"/>
        <v/>
      </c>
      <c r="J502" s="72"/>
      <c r="K502" s="72"/>
      <c r="L502" s="72">
        <f t="shared" si="6"/>
        <v>0</v>
      </c>
      <c r="M502" s="72"/>
      <c r="N502" s="72"/>
      <c r="O502" s="72">
        <f t="shared" si="7"/>
        <v>0</v>
      </c>
      <c r="P502" s="72"/>
      <c r="Q502" s="72"/>
      <c r="R502" s="72">
        <f t="shared" si="8"/>
        <v>0</v>
      </c>
      <c r="S502" s="251">
        <v>-6.0</v>
      </c>
      <c r="T502" s="251">
        <v>-3.0</v>
      </c>
      <c r="V502" s="72"/>
      <c r="W502" s="72"/>
      <c r="X502" s="72" t="str">
        <f t="shared" si="3"/>
        <v/>
      </c>
      <c r="Y502" s="72"/>
    </row>
    <row r="503">
      <c r="B503" s="1"/>
      <c r="C503" s="1"/>
      <c r="D503" s="1" t="str">
        <f t="shared" si="1"/>
        <v/>
      </c>
      <c r="F503" s="1"/>
      <c r="G503" s="1"/>
      <c r="H503" s="1" t="str">
        <f t="shared" si="2"/>
        <v/>
      </c>
      <c r="J503" s="72"/>
      <c r="K503" s="72"/>
      <c r="L503" s="72">
        <f t="shared" si="6"/>
        <v>0</v>
      </c>
      <c r="M503" s="72"/>
      <c r="N503" s="72"/>
      <c r="O503" s="72">
        <f t="shared" si="7"/>
        <v>0</v>
      </c>
      <c r="P503" s="72"/>
      <c r="Q503" s="72"/>
      <c r="R503" s="72">
        <f t="shared" si="8"/>
        <v>0</v>
      </c>
      <c r="S503" s="251">
        <v>-3.0</v>
      </c>
      <c r="T503" s="251">
        <v>-2.0</v>
      </c>
      <c r="V503" s="72"/>
      <c r="W503" s="72"/>
      <c r="X503" s="72" t="str">
        <f t="shared" si="3"/>
        <v/>
      </c>
      <c r="Y503" s="72"/>
    </row>
    <row r="504">
      <c r="B504" s="1"/>
      <c r="C504" s="1"/>
      <c r="D504" s="1" t="str">
        <f t="shared" si="1"/>
        <v/>
      </c>
      <c r="F504" s="1"/>
      <c r="G504" s="1"/>
      <c r="H504" s="1" t="str">
        <f t="shared" si="2"/>
        <v/>
      </c>
      <c r="J504" s="72"/>
      <c r="K504" s="72"/>
      <c r="L504" s="72">
        <f t="shared" si="6"/>
        <v>0</v>
      </c>
      <c r="M504" s="72"/>
      <c r="N504" s="72"/>
      <c r="O504" s="72">
        <f t="shared" si="7"/>
        <v>0</v>
      </c>
      <c r="P504" s="72"/>
      <c r="Q504" s="72"/>
      <c r="R504" s="72">
        <f t="shared" si="8"/>
        <v>0</v>
      </c>
      <c r="S504" s="251">
        <v>-1.0</v>
      </c>
      <c r="T504" s="251">
        <v>-1.0</v>
      </c>
      <c r="V504" s="72"/>
      <c r="W504" s="72"/>
      <c r="X504" s="72" t="str">
        <f t="shared" si="3"/>
        <v/>
      </c>
      <c r="Y504" s="72"/>
    </row>
    <row r="505">
      <c r="B505" s="1"/>
      <c r="C505" s="1"/>
      <c r="D505" s="1" t="str">
        <f t="shared" si="1"/>
        <v/>
      </c>
      <c r="F505" s="1"/>
      <c r="G505" s="1"/>
      <c r="H505" s="1" t="str">
        <f t="shared" si="2"/>
        <v/>
      </c>
      <c r="J505" s="72"/>
      <c r="K505" s="72"/>
      <c r="L505" s="72">
        <f t="shared" si="6"/>
        <v>0</v>
      </c>
      <c r="M505" s="72"/>
      <c r="N505" s="72"/>
      <c r="O505" s="72">
        <f t="shared" si="7"/>
        <v>0</v>
      </c>
      <c r="P505" s="72"/>
      <c r="Q505" s="72"/>
      <c r="R505" s="72">
        <f t="shared" si="8"/>
        <v>0</v>
      </c>
      <c r="S505" s="251">
        <v>0.0</v>
      </c>
      <c r="T505" s="251">
        <v>0.0</v>
      </c>
      <c r="V505" s="72"/>
      <c r="W505" s="72"/>
      <c r="X505" s="72" t="str">
        <f t="shared" si="3"/>
        <v/>
      </c>
      <c r="Y505" s="72"/>
    </row>
    <row r="506">
      <c r="B506" s="1"/>
      <c r="C506" s="1"/>
      <c r="D506" s="1" t="str">
        <f t="shared" si="1"/>
        <v/>
      </c>
      <c r="F506" s="1"/>
      <c r="G506" s="1"/>
      <c r="H506" s="1" t="str">
        <f t="shared" si="2"/>
        <v/>
      </c>
      <c r="J506" s="72"/>
      <c r="K506" s="72"/>
      <c r="L506" s="72">
        <f t="shared" si="6"/>
        <v>0</v>
      </c>
      <c r="M506" s="72"/>
      <c r="N506" s="72"/>
      <c r="O506" s="72">
        <f t="shared" si="7"/>
        <v>0</v>
      </c>
      <c r="P506" s="72"/>
      <c r="Q506" s="72"/>
      <c r="R506" s="72">
        <f t="shared" si="8"/>
        <v>0</v>
      </c>
      <c r="S506" s="251">
        <v>1.0</v>
      </c>
      <c r="T506" s="251">
        <v>1.0</v>
      </c>
      <c r="V506" s="72"/>
      <c r="W506" s="72"/>
      <c r="X506" s="72" t="str">
        <f t="shared" si="3"/>
        <v/>
      </c>
      <c r="Y506" s="72"/>
    </row>
    <row r="507">
      <c r="B507" s="1"/>
      <c r="C507" s="1"/>
      <c r="D507" s="1" t="str">
        <f t="shared" si="1"/>
        <v/>
      </c>
      <c r="F507" s="1"/>
      <c r="G507" s="1"/>
      <c r="H507" s="1" t="str">
        <f t="shared" si="2"/>
        <v/>
      </c>
      <c r="J507" s="72"/>
      <c r="K507" s="72"/>
      <c r="L507" s="72">
        <f t="shared" si="6"/>
        <v>0</v>
      </c>
      <c r="M507" s="72"/>
      <c r="N507" s="72"/>
      <c r="O507" s="72">
        <f t="shared" si="7"/>
        <v>0</v>
      </c>
      <c r="P507" s="72"/>
      <c r="Q507" s="72"/>
      <c r="R507" s="72">
        <f t="shared" si="8"/>
        <v>0</v>
      </c>
      <c r="S507" s="251">
        <v>3.0</v>
      </c>
      <c r="T507" s="251">
        <v>2.0</v>
      </c>
      <c r="V507" s="72"/>
      <c r="W507" s="72"/>
      <c r="X507" s="72" t="str">
        <f t="shared" si="3"/>
        <v/>
      </c>
      <c r="Y507" s="72"/>
    </row>
    <row r="508">
      <c r="B508" s="1"/>
      <c r="C508" s="1"/>
      <c r="D508" s="1" t="str">
        <f t="shared" si="1"/>
        <v/>
      </c>
      <c r="F508" s="1"/>
      <c r="G508" s="1"/>
      <c r="H508" s="1" t="str">
        <f t="shared" si="2"/>
        <v/>
      </c>
      <c r="J508" s="72"/>
      <c r="K508" s="72"/>
      <c r="L508" s="72">
        <f t="shared" si="6"/>
        <v>0</v>
      </c>
      <c r="M508" s="72"/>
      <c r="N508" s="72"/>
      <c r="O508" s="72">
        <f t="shared" si="7"/>
        <v>0</v>
      </c>
      <c r="P508" s="72"/>
      <c r="Q508" s="72"/>
      <c r="R508" s="72">
        <f t="shared" si="8"/>
        <v>0</v>
      </c>
      <c r="S508" s="251">
        <v>6.0</v>
      </c>
      <c r="T508" s="251">
        <v>3.0</v>
      </c>
      <c r="V508" s="72"/>
      <c r="W508" s="72"/>
      <c r="X508" s="72" t="str">
        <f t="shared" si="3"/>
        <v/>
      </c>
      <c r="Y508" s="72"/>
    </row>
    <row r="509">
      <c r="B509" s="1"/>
      <c r="C509" s="1"/>
      <c r="D509" s="1" t="str">
        <f t="shared" si="1"/>
        <v/>
      </c>
      <c r="F509" s="1"/>
      <c r="G509" s="1"/>
      <c r="H509" s="1" t="str">
        <f t="shared" si="2"/>
        <v/>
      </c>
      <c r="J509" s="72"/>
      <c r="K509" s="72"/>
      <c r="L509" s="72">
        <f t="shared" si="6"/>
        <v>0</v>
      </c>
      <c r="M509" s="72"/>
      <c r="N509" s="72"/>
      <c r="O509" s="72">
        <f t="shared" si="7"/>
        <v>0</v>
      </c>
      <c r="P509" s="72"/>
      <c r="Q509" s="72"/>
      <c r="R509" s="72">
        <f t="shared" si="8"/>
        <v>0</v>
      </c>
      <c r="S509" s="251">
        <v>10.0</v>
      </c>
      <c r="T509" s="251">
        <v>4.0</v>
      </c>
      <c r="V509" s="72"/>
      <c r="W509" s="72"/>
      <c r="X509" s="72" t="str">
        <f t="shared" si="3"/>
        <v/>
      </c>
      <c r="Y509" s="72"/>
    </row>
    <row r="510">
      <c r="B510" s="1"/>
      <c r="C510" s="1"/>
      <c r="D510" s="1" t="str">
        <f t="shared" si="1"/>
        <v/>
      </c>
      <c r="F510" s="1"/>
      <c r="G510" s="1"/>
      <c r="H510" s="1" t="str">
        <f t="shared" si="2"/>
        <v/>
      </c>
      <c r="J510" s="72"/>
      <c r="K510" s="72"/>
      <c r="L510" s="72">
        <f t="shared" si="6"/>
        <v>0</v>
      </c>
      <c r="M510" s="72"/>
      <c r="N510" s="72"/>
      <c r="O510" s="72">
        <f t="shared" si="7"/>
        <v>0</v>
      </c>
      <c r="P510" s="72"/>
      <c r="Q510" s="72"/>
      <c r="R510" s="72">
        <f t="shared" si="8"/>
        <v>0</v>
      </c>
      <c r="S510" s="251">
        <v>15.0</v>
      </c>
      <c r="T510" s="251">
        <v>5.0</v>
      </c>
      <c r="V510" s="72"/>
      <c r="W510" s="72"/>
      <c r="X510" s="72" t="str">
        <f t="shared" si="3"/>
        <v/>
      </c>
      <c r="Y510" s="72"/>
    </row>
    <row r="511">
      <c r="B511" s="1"/>
      <c r="C511" s="1"/>
      <c r="D511" s="1" t="str">
        <f t="shared" si="1"/>
        <v/>
      </c>
      <c r="F511" s="1"/>
      <c r="G511" s="1"/>
      <c r="H511" s="1" t="str">
        <f t="shared" si="2"/>
        <v/>
      </c>
      <c r="J511" s="72"/>
      <c r="K511" s="72"/>
      <c r="L511" s="72">
        <f t="shared" si="6"/>
        <v>0</v>
      </c>
      <c r="M511" s="72"/>
      <c r="N511" s="72"/>
      <c r="O511" s="72">
        <f t="shared" si="7"/>
        <v>0</v>
      </c>
      <c r="P511" s="72"/>
      <c r="Q511" s="72"/>
      <c r="R511" s="72">
        <f t="shared" si="8"/>
        <v>0</v>
      </c>
      <c r="S511" s="251">
        <v>21.0</v>
      </c>
      <c r="T511" s="251">
        <v>6.0</v>
      </c>
      <c r="V511" s="72"/>
      <c r="W511" s="72"/>
      <c r="X511" s="72" t="str">
        <f t="shared" si="3"/>
        <v/>
      </c>
      <c r="Y511" s="72"/>
    </row>
    <row r="512">
      <c r="B512" s="1"/>
      <c r="C512" s="1"/>
      <c r="D512" s="1" t="str">
        <f t="shared" si="1"/>
        <v/>
      </c>
      <c r="F512" s="1"/>
      <c r="G512" s="1"/>
      <c r="H512" s="1" t="str">
        <f t="shared" si="2"/>
        <v/>
      </c>
      <c r="J512" s="72"/>
      <c r="K512" s="72"/>
      <c r="L512" s="72">
        <f t="shared" si="6"/>
        <v>0</v>
      </c>
      <c r="M512" s="72"/>
      <c r="N512" s="72"/>
      <c r="O512" s="72">
        <f t="shared" si="7"/>
        <v>0</v>
      </c>
      <c r="P512" s="72"/>
      <c r="Q512" s="72"/>
      <c r="R512" s="72">
        <f t="shared" si="8"/>
        <v>0</v>
      </c>
      <c r="S512" s="251">
        <v>28.0</v>
      </c>
      <c r="T512" s="251">
        <v>7.0</v>
      </c>
      <c r="V512" s="72"/>
      <c r="W512" s="72"/>
      <c r="X512" s="72" t="str">
        <f t="shared" si="3"/>
        <v/>
      </c>
      <c r="Y512" s="72"/>
    </row>
    <row r="513">
      <c r="B513" s="1"/>
      <c r="C513" s="1"/>
      <c r="D513" s="1" t="str">
        <f t="shared" si="1"/>
        <v/>
      </c>
      <c r="F513" s="1"/>
      <c r="G513" s="1"/>
      <c r="H513" s="1" t="str">
        <f t="shared" si="2"/>
        <v/>
      </c>
      <c r="J513" s="72"/>
      <c r="K513" s="72"/>
      <c r="L513" s="72">
        <f t="shared" si="6"/>
        <v>0</v>
      </c>
      <c r="M513" s="72"/>
      <c r="N513" s="72"/>
      <c r="O513" s="72">
        <f t="shared" si="7"/>
        <v>0</v>
      </c>
      <c r="P513" s="72"/>
      <c r="Q513" s="72"/>
      <c r="R513" s="72">
        <f t="shared" si="8"/>
        <v>0</v>
      </c>
      <c r="S513" s="251">
        <v>36.0</v>
      </c>
      <c r="T513" s="251">
        <v>8.0</v>
      </c>
      <c r="V513" s="72"/>
      <c r="W513" s="72"/>
      <c r="X513" s="72" t="str">
        <f t="shared" si="3"/>
        <v/>
      </c>
      <c r="Y513" s="72"/>
    </row>
    <row r="514">
      <c r="B514" s="1"/>
      <c r="C514" s="1"/>
      <c r="D514" s="1" t="str">
        <f t="shared" si="1"/>
        <v/>
      </c>
      <c r="F514" s="1"/>
      <c r="G514" s="1"/>
      <c r="H514" s="1" t="str">
        <f t="shared" si="2"/>
        <v/>
      </c>
      <c r="J514" s="72"/>
      <c r="K514" s="72"/>
      <c r="L514" s="72">
        <f t="shared" si="6"/>
        <v>0</v>
      </c>
      <c r="M514" s="72"/>
      <c r="N514" s="72"/>
      <c r="O514" s="72">
        <f t="shared" si="7"/>
        <v>0</v>
      </c>
      <c r="P514" s="72"/>
      <c r="Q514" s="72"/>
      <c r="R514" s="72">
        <f t="shared" si="8"/>
        <v>0</v>
      </c>
      <c r="S514" s="251">
        <v>45.0</v>
      </c>
      <c r="T514" s="251">
        <v>9.0</v>
      </c>
      <c r="V514" s="72"/>
      <c r="W514" s="72"/>
      <c r="X514" s="72" t="str">
        <f t="shared" si="3"/>
        <v/>
      </c>
      <c r="Y514" s="72"/>
    </row>
    <row r="515">
      <c r="B515" s="1"/>
      <c r="C515" s="1"/>
      <c r="D515" s="1" t="str">
        <f t="shared" si="1"/>
        <v/>
      </c>
      <c r="F515" s="1"/>
      <c r="G515" s="1"/>
      <c r="H515" s="1" t="str">
        <f t="shared" si="2"/>
        <v/>
      </c>
      <c r="J515" s="72"/>
      <c r="K515" s="72"/>
      <c r="L515" s="72">
        <f t="shared" si="6"/>
        <v>0</v>
      </c>
      <c r="M515" s="72"/>
      <c r="N515" s="72"/>
      <c r="O515" s="72">
        <f t="shared" si="7"/>
        <v>0</v>
      </c>
      <c r="P515" s="72"/>
      <c r="Q515" s="72"/>
      <c r="R515" s="72">
        <f t="shared" si="8"/>
        <v>0</v>
      </c>
      <c r="S515" s="251">
        <v>55.0</v>
      </c>
      <c r="T515" s="251">
        <v>10.0</v>
      </c>
      <c r="V515" s="72"/>
      <c r="W515" s="72"/>
      <c r="X515" s="72" t="str">
        <f t="shared" si="3"/>
        <v/>
      </c>
      <c r="Y515" s="72"/>
    </row>
    <row r="516">
      <c r="B516" s="1"/>
      <c r="C516" s="1"/>
      <c r="D516" s="1" t="str">
        <f t="shared" si="1"/>
        <v/>
      </c>
      <c r="F516" s="1"/>
      <c r="G516" s="1"/>
      <c r="H516" s="1" t="str">
        <f t="shared" si="2"/>
        <v/>
      </c>
      <c r="J516" s="72"/>
      <c r="K516" s="72"/>
      <c r="L516" s="72">
        <f t="shared" si="6"/>
        <v>0</v>
      </c>
      <c r="M516" s="72"/>
      <c r="N516" s="72"/>
      <c r="O516" s="72">
        <f t="shared" si="7"/>
        <v>0</v>
      </c>
      <c r="P516" s="72"/>
      <c r="Q516" s="72"/>
      <c r="R516" s="72">
        <f t="shared" si="8"/>
        <v>0</v>
      </c>
      <c r="S516" s="251">
        <v>66.0</v>
      </c>
      <c r="T516" s="251">
        <v>11.0</v>
      </c>
      <c r="V516" s="72"/>
      <c r="W516" s="72"/>
      <c r="X516" s="72" t="str">
        <f t="shared" si="3"/>
        <v/>
      </c>
      <c r="Y516" s="72"/>
    </row>
    <row r="517">
      <c r="B517" s="1"/>
      <c r="C517" s="1"/>
      <c r="D517" s="1" t="str">
        <f t="shared" si="1"/>
        <v/>
      </c>
      <c r="F517" s="1"/>
      <c r="G517" s="1"/>
      <c r="H517" s="1" t="str">
        <f t="shared" si="2"/>
        <v/>
      </c>
      <c r="J517" s="72"/>
      <c r="K517" s="72"/>
      <c r="L517" s="72">
        <f t="shared" si="6"/>
        <v>0</v>
      </c>
      <c r="M517" s="72"/>
      <c r="N517" s="72"/>
      <c r="O517" s="72">
        <f t="shared" si="7"/>
        <v>0</v>
      </c>
      <c r="P517" s="72"/>
      <c r="Q517" s="72"/>
      <c r="R517" s="72">
        <f t="shared" si="8"/>
        <v>0</v>
      </c>
      <c r="S517" s="251">
        <v>78.0</v>
      </c>
      <c r="T517" s="251">
        <v>12.0</v>
      </c>
      <c r="V517" s="72"/>
      <c r="W517" s="72"/>
      <c r="X517" s="72" t="str">
        <f t="shared" si="3"/>
        <v/>
      </c>
      <c r="Y517" s="72"/>
    </row>
    <row r="518">
      <c r="B518" s="1"/>
      <c r="C518" s="1"/>
      <c r="D518" s="1" t="str">
        <f t="shared" si="1"/>
        <v/>
      </c>
      <c r="F518" s="1"/>
      <c r="G518" s="1"/>
      <c r="H518" s="1" t="str">
        <f t="shared" si="2"/>
        <v/>
      </c>
      <c r="J518" s="72"/>
      <c r="K518" s="72"/>
      <c r="L518" s="72">
        <f t="shared" si="6"/>
        <v>0</v>
      </c>
      <c r="M518" s="72"/>
      <c r="N518" s="72"/>
      <c r="O518" s="72">
        <f t="shared" si="7"/>
        <v>0</v>
      </c>
      <c r="P518" s="72"/>
      <c r="Q518" s="72"/>
      <c r="R518" s="72">
        <f t="shared" si="8"/>
        <v>0</v>
      </c>
      <c r="S518" s="251">
        <v>91.0</v>
      </c>
      <c r="T518" s="251">
        <v>13.0</v>
      </c>
      <c r="V518" s="72"/>
      <c r="W518" s="72"/>
      <c r="X518" s="72" t="str">
        <f t="shared" si="3"/>
        <v/>
      </c>
      <c r="Y518" s="72"/>
    </row>
    <row r="519">
      <c r="B519" s="1"/>
      <c r="C519" s="1"/>
      <c r="D519" s="1" t="str">
        <f t="shared" si="1"/>
        <v/>
      </c>
      <c r="F519" s="1"/>
      <c r="G519" s="1"/>
      <c r="H519" s="1" t="str">
        <f t="shared" si="2"/>
        <v/>
      </c>
      <c r="J519" s="72"/>
      <c r="K519" s="72"/>
      <c r="L519" s="72">
        <f t="shared" si="6"/>
        <v>0</v>
      </c>
      <c r="M519" s="72"/>
      <c r="N519" s="72"/>
      <c r="O519" s="72">
        <f t="shared" si="7"/>
        <v>0</v>
      </c>
      <c r="P519" s="72"/>
      <c r="Q519" s="72"/>
      <c r="R519" s="72">
        <f t="shared" si="8"/>
        <v>0</v>
      </c>
      <c r="S519" s="251">
        <v>105.0</v>
      </c>
      <c r="T519" s="251">
        <v>14.0</v>
      </c>
      <c r="V519" s="72"/>
      <c r="W519" s="72"/>
      <c r="X519" s="72" t="str">
        <f t="shared" si="3"/>
        <v/>
      </c>
      <c r="Y519" s="72"/>
    </row>
    <row r="520">
      <c r="B520" s="1"/>
      <c r="C520" s="1"/>
      <c r="D520" s="1" t="str">
        <f t="shared" si="1"/>
        <v/>
      </c>
      <c r="F520" s="1"/>
      <c r="G520" s="1"/>
      <c r="H520" s="1" t="str">
        <f t="shared" si="2"/>
        <v/>
      </c>
      <c r="J520" s="274"/>
      <c r="K520" s="72"/>
      <c r="L520" s="72"/>
      <c r="M520" s="72"/>
      <c r="N520" s="72"/>
      <c r="O520" s="72">
        <f t="shared" si="7"/>
        <v>0</v>
      </c>
      <c r="P520" s="72"/>
      <c r="Q520" s="72"/>
      <c r="R520" s="72">
        <f t="shared" si="8"/>
        <v>0</v>
      </c>
      <c r="S520" s="251">
        <v>120.0</v>
      </c>
      <c r="T520" s="251">
        <v>15.0</v>
      </c>
      <c r="V520" s="72"/>
      <c r="W520" s="72"/>
      <c r="X520" s="72" t="str">
        <f t="shared" si="3"/>
        <v/>
      </c>
      <c r="Y520" s="72"/>
    </row>
    <row r="521">
      <c r="B521" s="1"/>
      <c r="C521" s="1"/>
      <c r="D521" s="1" t="str">
        <f t="shared" si="1"/>
        <v/>
      </c>
      <c r="F521" s="1"/>
      <c r="G521" s="1"/>
      <c r="H521" s="1" t="str">
        <f t="shared" si="2"/>
        <v/>
      </c>
      <c r="J521" s="274"/>
      <c r="K521" s="72"/>
      <c r="L521" s="72"/>
      <c r="M521" s="72"/>
      <c r="N521" s="72"/>
      <c r="O521" s="72">
        <f t="shared" si="7"/>
        <v>0</v>
      </c>
      <c r="P521" s="72"/>
      <c r="Q521" s="72"/>
      <c r="R521" s="72">
        <f t="shared" si="8"/>
        <v>0</v>
      </c>
      <c r="S521" s="251">
        <v>136.0</v>
      </c>
      <c r="T521" s="251">
        <v>16.0</v>
      </c>
      <c r="V521" s="72"/>
      <c r="W521" s="72"/>
      <c r="X521" s="72" t="str">
        <f t="shared" si="3"/>
        <v/>
      </c>
      <c r="Y521" s="72"/>
    </row>
    <row r="522">
      <c r="B522" s="1"/>
      <c r="C522" s="1"/>
      <c r="D522" s="1" t="str">
        <f t="shared" si="1"/>
        <v/>
      </c>
      <c r="F522" s="1"/>
      <c r="G522" s="1"/>
      <c r="H522" s="1" t="str">
        <f t="shared" si="2"/>
        <v/>
      </c>
      <c r="J522" s="274"/>
      <c r="K522" s="72"/>
      <c r="L522" s="72"/>
      <c r="M522" s="72"/>
      <c r="N522" s="72"/>
      <c r="O522" s="72">
        <f t="shared" si="7"/>
        <v>0</v>
      </c>
      <c r="P522" s="72"/>
      <c r="Q522" s="72"/>
      <c r="R522" s="72">
        <f t="shared" si="8"/>
        <v>0</v>
      </c>
      <c r="S522" s="251">
        <v>153.0</v>
      </c>
      <c r="T522" s="251">
        <v>17.0</v>
      </c>
      <c r="V522" s="72"/>
      <c r="W522" s="72"/>
      <c r="X522" s="72" t="str">
        <f t="shared" si="3"/>
        <v/>
      </c>
      <c r="Y522" s="72"/>
    </row>
    <row r="523">
      <c r="B523" s="1"/>
      <c r="C523" s="1"/>
      <c r="D523" s="1" t="str">
        <f t="shared" si="1"/>
        <v/>
      </c>
      <c r="F523" s="1"/>
      <c r="G523" s="1"/>
      <c r="H523" s="1" t="str">
        <f t="shared" si="2"/>
        <v/>
      </c>
      <c r="J523" s="274"/>
      <c r="K523" s="72"/>
      <c r="L523" s="72"/>
      <c r="M523" s="72"/>
      <c r="N523" s="72"/>
      <c r="O523" s="72">
        <f t="shared" si="7"/>
        <v>0</v>
      </c>
      <c r="P523" s="72"/>
      <c r="Q523" s="72"/>
      <c r="R523" s="72">
        <f t="shared" si="8"/>
        <v>0</v>
      </c>
      <c r="S523" s="251">
        <v>171.0</v>
      </c>
      <c r="T523" s="251">
        <v>18.0</v>
      </c>
      <c r="V523" s="72"/>
      <c r="W523" s="72"/>
      <c r="X523" s="72" t="str">
        <f t="shared" si="3"/>
        <v/>
      </c>
      <c r="Y523" s="72"/>
    </row>
    <row r="524">
      <c r="B524" s="1"/>
      <c r="C524" s="1"/>
      <c r="D524" s="1" t="str">
        <f t="shared" si="1"/>
        <v/>
      </c>
      <c r="F524" s="1"/>
      <c r="G524" s="1"/>
      <c r="H524" s="1" t="str">
        <f t="shared" si="2"/>
        <v/>
      </c>
      <c r="J524" s="274"/>
      <c r="K524" s="72"/>
      <c r="L524" s="72"/>
      <c r="M524" s="72"/>
      <c r="N524" s="72"/>
      <c r="O524" s="72">
        <f t="shared" si="7"/>
        <v>0</v>
      </c>
      <c r="P524" s="72"/>
      <c r="Q524" s="72"/>
      <c r="R524" s="72">
        <f t="shared" si="8"/>
        <v>0</v>
      </c>
      <c r="S524" s="251">
        <v>190.0</v>
      </c>
      <c r="T524" s="251">
        <v>19.0</v>
      </c>
      <c r="V524" s="72"/>
      <c r="W524" s="72"/>
      <c r="X524" s="72" t="str">
        <f t="shared" si="3"/>
        <v/>
      </c>
      <c r="Y524" s="72"/>
    </row>
    <row r="525">
      <c r="B525" s="1"/>
      <c r="C525" s="1"/>
      <c r="D525" s="1" t="str">
        <f t="shared" si="1"/>
        <v/>
      </c>
      <c r="F525" s="1"/>
      <c r="G525" s="1"/>
      <c r="H525" s="1" t="str">
        <f t="shared" si="2"/>
        <v/>
      </c>
      <c r="J525" s="274"/>
      <c r="K525" s="72"/>
      <c r="L525" s="72"/>
      <c r="M525" s="72"/>
      <c r="N525" s="72"/>
      <c r="O525" s="72">
        <f t="shared" si="7"/>
        <v>0</v>
      </c>
      <c r="P525" s="72"/>
      <c r="Q525" s="72"/>
      <c r="R525" s="72">
        <f t="shared" si="8"/>
        <v>0</v>
      </c>
      <c r="S525" s="251">
        <v>210.0</v>
      </c>
      <c r="T525" s="251">
        <v>20.0</v>
      </c>
      <c r="V525" s="72"/>
      <c r="W525" s="72"/>
      <c r="X525" s="72" t="str">
        <f t="shared" si="3"/>
        <v/>
      </c>
      <c r="Y525" s="72"/>
    </row>
    <row r="526">
      <c r="B526" s="1"/>
      <c r="C526" s="1"/>
      <c r="D526" s="1" t="str">
        <f t="shared" si="1"/>
        <v/>
      </c>
      <c r="F526" s="1"/>
      <c r="G526" s="1"/>
      <c r="H526" s="1" t="str">
        <f t="shared" si="2"/>
        <v/>
      </c>
      <c r="J526" s="274"/>
      <c r="K526" s="72"/>
      <c r="L526" s="72"/>
      <c r="M526" s="72"/>
      <c r="N526" s="72"/>
      <c r="O526" s="72">
        <f t="shared" si="7"/>
        <v>0</v>
      </c>
      <c r="P526" s="72"/>
      <c r="Q526" s="72"/>
      <c r="R526" s="72">
        <f t="shared" si="8"/>
        <v>0</v>
      </c>
      <c r="S526" s="251">
        <v>231.0</v>
      </c>
      <c r="T526" s="251">
        <v>21.0</v>
      </c>
      <c r="V526" s="72"/>
      <c r="W526" s="72"/>
      <c r="X526" s="72" t="str">
        <f t="shared" si="3"/>
        <v/>
      </c>
      <c r="Y526" s="72"/>
    </row>
    <row r="527">
      <c r="B527" s="1"/>
      <c r="C527" s="1"/>
      <c r="D527" s="1" t="str">
        <f t="shared" si="1"/>
        <v/>
      </c>
      <c r="F527" s="1"/>
      <c r="G527" s="1"/>
      <c r="H527" s="1" t="str">
        <f t="shared" si="2"/>
        <v/>
      </c>
      <c r="J527" s="274"/>
      <c r="K527" s="72"/>
      <c r="L527" s="72"/>
      <c r="M527" s="72"/>
      <c r="N527" s="72"/>
      <c r="O527" s="72">
        <f t="shared" si="7"/>
        <v>0</v>
      </c>
      <c r="P527" s="72"/>
      <c r="Q527" s="72"/>
      <c r="R527" s="72">
        <f t="shared" si="8"/>
        <v>0</v>
      </c>
      <c r="S527" s="72"/>
      <c r="T527" s="70">
        <v>0.0</v>
      </c>
      <c r="V527" s="72"/>
      <c r="W527" s="72"/>
      <c r="X527" s="72" t="str">
        <f t="shared" si="3"/>
        <v/>
      </c>
      <c r="Y527" s="72"/>
    </row>
    <row r="528">
      <c r="B528" s="1"/>
      <c r="C528" s="1"/>
      <c r="D528" s="1" t="str">
        <f t="shared" si="1"/>
        <v/>
      </c>
      <c r="F528" s="1"/>
      <c r="G528" s="1"/>
      <c r="H528" s="1" t="str">
        <f t="shared" si="2"/>
        <v/>
      </c>
      <c r="J528" s="274"/>
      <c r="K528" s="72"/>
      <c r="L528" s="72"/>
      <c r="M528" s="72"/>
      <c r="N528" s="72"/>
      <c r="O528" s="72">
        <f t="shared" si="7"/>
        <v>0</v>
      </c>
      <c r="P528" s="72"/>
      <c r="Q528" s="72"/>
      <c r="R528" s="72">
        <f t="shared" si="8"/>
        <v>0</v>
      </c>
      <c r="S528" s="72"/>
      <c r="T528" s="72"/>
      <c r="V528" s="72"/>
      <c r="W528" s="72"/>
      <c r="X528" s="72" t="str">
        <f t="shared" si="3"/>
        <v/>
      </c>
      <c r="Y528" s="72"/>
    </row>
    <row r="529">
      <c r="B529" s="1"/>
      <c r="C529" s="1"/>
      <c r="D529" s="1" t="str">
        <f t="shared" si="1"/>
        <v/>
      </c>
      <c r="F529" s="1"/>
      <c r="G529" s="1"/>
      <c r="H529" s="1" t="str">
        <f t="shared" si="2"/>
        <v/>
      </c>
      <c r="J529" s="274"/>
      <c r="K529" s="72"/>
      <c r="L529" s="72"/>
      <c r="M529" s="72"/>
      <c r="N529" s="72"/>
      <c r="O529" s="72">
        <f t="shared" si="7"/>
        <v>0</v>
      </c>
      <c r="P529" s="72"/>
      <c r="Q529" s="72"/>
      <c r="R529" s="72">
        <f t="shared" si="8"/>
        <v>0</v>
      </c>
      <c r="S529" s="72"/>
      <c r="T529" s="72"/>
      <c r="V529" s="72"/>
      <c r="W529" s="72"/>
      <c r="X529" s="72" t="str">
        <f t="shared" si="3"/>
        <v/>
      </c>
      <c r="Y529" s="72"/>
    </row>
    <row r="530">
      <c r="B530" s="1"/>
      <c r="C530" s="1"/>
      <c r="D530" s="1" t="str">
        <f t="shared" si="1"/>
        <v/>
      </c>
      <c r="F530" s="1"/>
      <c r="G530" s="1"/>
      <c r="H530" s="1" t="str">
        <f t="shared" si="2"/>
        <v/>
      </c>
      <c r="J530" s="274"/>
      <c r="K530" s="72"/>
      <c r="L530" s="72"/>
      <c r="M530" s="72"/>
      <c r="N530" s="72"/>
      <c r="O530" s="72">
        <f t="shared" si="7"/>
        <v>0</v>
      </c>
      <c r="P530" s="72"/>
      <c r="Q530" s="72"/>
      <c r="R530" s="72">
        <f t="shared" si="8"/>
        <v>0</v>
      </c>
      <c r="S530" s="72"/>
      <c r="T530" s="72"/>
      <c r="V530" s="72"/>
      <c r="W530" s="72"/>
      <c r="X530" s="72" t="str">
        <f t="shared" si="3"/>
        <v/>
      </c>
      <c r="Y530" s="72"/>
    </row>
    <row r="531">
      <c r="B531" s="1"/>
      <c r="C531" s="1"/>
      <c r="D531" s="1" t="str">
        <f t="shared" si="1"/>
        <v/>
      </c>
      <c r="F531" s="1"/>
      <c r="G531" s="1"/>
      <c r="H531" s="1" t="str">
        <f t="shared" si="2"/>
        <v/>
      </c>
      <c r="J531" s="274"/>
      <c r="K531" s="72"/>
      <c r="L531" s="72"/>
      <c r="M531" s="72"/>
      <c r="N531" s="72"/>
      <c r="O531" s="72">
        <f t="shared" si="7"/>
        <v>0</v>
      </c>
      <c r="P531" s="72"/>
      <c r="Q531" s="72"/>
      <c r="R531" s="72">
        <f t="shared" si="8"/>
        <v>0</v>
      </c>
      <c r="S531" s="72"/>
      <c r="T531" s="72"/>
      <c r="V531" s="72"/>
      <c r="W531" s="72"/>
      <c r="X531" s="72" t="str">
        <f t="shared" si="3"/>
        <v/>
      </c>
      <c r="Y531" s="72"/>
    </row>
    <row r="532">
      <c r="B532" s="1"/>
      <c r="C532" s="1"/>
      <c r="D532" s="1" t="str">
        <f t="shared" si="1"/>
        <v/>
      </c>
      <c r="F532" s="1"/>
      <c r="G532" s="1"/>
      <c r="H532" s="1" t="str">
        <f t="shared" si="2"/>
        <v/>
      </c>
      <c r="J532" s="274"/>
      <c r="K532" s="72"/>
      <c r="L532" s="72"/>
      <c r="M532" s="72"/>
      <c r="N532" s="72"/>
      <c r="O532" s="72">
        <f t="shared" si="7"/>
        <v>0</v>
      </c>
      <c r="P532" s="72"/>
      <c r="Q532" s="72"/>
      <c r="R532" s="72">
        <f t="shared" si="8"/>
        <v>0</v>
      </c>
      <c r="S532" s="72"/>
      <c r="T532" s="72"/>
      <c r="V532" s="72"/>
      <c r="W532" s="72"/>
      <c r="X532" s="72" t="str">
        <f t="shared" si="3"/>
        <v/>
      </c>
      <c r="Y532" s="72"/>
    </row>
    <row r="533">
      <c r="B533" s="1"/>
      <c r="C533" s="1"/>
      <c r="D533" s="1" t="str">
        <f t="shared" si="1"/>
        <v/>
      </c>
      <c r="F533" s="1"/>
      <c r="G533" s="1"/>
      <c r="H533" s="1" t="str">
        <f t="shared" si="2"/>
        <v/>
      </c>
      <c r="J533" s="274"/>
      <c r="K533" s="72"/>
      <c r="L533" s="72"/>
      <c r="M533" s="72"/>
      <c r="N533" s="72"/>
      <c r="O533" s="72">
        <f t="shared" si="7"/>
        <v>0</v>
      </c>
      <c r="P533" s="72"/>
      <c r="Q533" s="72"/>
      <c r="R533" s="72">
        <f t="shared" si="8"/>
        <v>0</v>
      </c>
      <c r="S533" s="72"/>
      <c r="T533" s="72"/>
      <c r="V533" s="72"/>
      <c r="W533" s="72"/>
      <c r="X533" s="72" t="str">
        <f t="shared" si="3"/>
        <v/>
      </c>
      <c r="Y533" s="72"/>
    </row>
    <row r="534">
      <c r="B534" s="1"/>
      <c r="C534" s="1"/>
      <c r="D534" s="1" t="str">
        <f t="shared" si="1"/>
        <v/>
      </c>
      <c r="F534" s="1"/>
      <c r="G534" s="1"/>
      <c r="H534" s="1" t="str">
        <f t="shared" si="2"/>
        <v/>
      </c>
      <c r="J534" s="274"/>
      <c r="K534" s="72"/>
      <c r="L534" s="72"/>
      <c r="M534" s="72"/>
      <c r="N534" s="72"/>
      <c r="O534" s="72">
        <f t="shared" si="7"/>
        <v>0</v>
      </c>
      <c r="P534" s="72"/>
      <c r="Q534" s="72"/>
      <c r="R534" s="72">
        <f t="shared" si="8"/>
        <v>0</v>
      </c>
      <c r="S534" s="72"/>
      <c r="T534" s="72"/>
      <c r="V534" s="72"/>
      <c r="W534" s="72"/>
      <c r="X534" s="72" t="str">
        <f t="shared" si="3"/>
        <v/>
      </c>
      <c r="Y534" s="72"/>
    </row>
    <row r="535">
      <c r="B535" s="1"/>
      <c r="C535" s="1"/>
      <c r="D535" s="1" t="str">
        <f t="shared" si="1"/>
        <v/>
      </c>
      <c r="F535" s="1"/>
      <c r="G535" s="1"/>
      <c r="H535" s="1" t="str">
        <f t="shared" si="2"/>
        <v/>
      </c>
      <c r="J535" s="274"/>
      <c r="K535" s="72"/>
      <c r="L535" s="72"/>
      <c r="M535" s="72"/>
      <c r="N535" s="72"/>
      <c r="O535" s="72">
        <f t="shared" si="7"/>
        <v>0</v>
      </c>
      <c r="P535" s="72"/>
      <c r="Q535" s="72"/>
      <c r="R535" s="72">
        <f t="shared" si="8"/>
        <v>0</v>
      </c>
      <c r="S535" s="72"/>
      <c r="T535" s="72"/>
      <c r="V535" s="72"/>
      <c r="W535" s="72"/>
      <c r="X535" s="72" t="str">
        <f t="shared" si="3"/>
        <v/>
      </c>
      <c r="Y535" s="72"/>
    </row>
    <row r="536">
      <c r="B536" s="1"/>
      <c r="C536" s="1"/>
      <c r="D536" s="1" t="str">
        <f t="shared" si="1"/>
        <v/>
      </c>
      <c r="F536" s="1"/>
      <c r="G536" s="1"/>
      <c r="H536" s="1" t="str">
        <f t="shared" si="2"/>
        <v/>
      </c>
      <c r="J536" s="274"/>
      <c r="K536" s="72"/>
      <c r="L536" s="72"/>
      <c r="M536" s="72"/>
      <c r="N536" s="72"/>
      <c r="O536" s="72">
        <f t="shared" si="7"/>
        <v>0</v>
      </c>
      <c r="P536" s="72"/>
      <c r="Q536" s="72"/>
      <c r="R536" s="72">
        <f t="shared" si="8"/>
        <v>0</v>
      </c>
      <c r="S536" s="72"/>
      <c r="T536" s="72"/>
      <c r="V536" s="72"/>
      <c r="W536" s="72"/>
      <c r="X536" s="72" t="str">
        <f t="shared" si="3"/>
        <v/>
      </c>
      <c r="Y536" s="72"/>
    </row>
    <row r="537">
      <c r="B537" s="1"/>
      <c r="C537" s="1"/>
      <c r="D537" s="1" t="str">
        <f t="shared" si="1"/>
        <v/>
      </c>
      <c r="F537" s="1"/>
      <c r="G537" s="1"/>
      <c r="H537" s="1" t="str">
        <f t="shared" si="2"/>
        <v/>
      </c>
      <c r="J537" s="274"/>
      <c r="K537" s="72"/>
      <c r="L537" s="72"/>
      <c r="M537" s="72"/>
      <c r="N537" s="72"/>
      <c r="O537" s="72">
        <f t="shared" si="7"/>
        <v>0</v>
      </c>
      <c r="P537" s="72"/>
      <c r="Q537" s="72"/>
      <c r="R537" s="72">
        <f t="shared" si="8"/>
        <v>0</v>
      </c>
      <c r="S537" s="72"/>
      <c r="T537" s="72"/>
      <c r="V537" s="72"/>
      <c r="W537" s="72"/>
      <c r="X537" s="72" t="str">
        <f t="shared" si="3"/>
        <v/>
      </c>
      <c r="Y537" s="72"/>
    </row>
    <row r="538">
      <c r="B538" s="1"/>
      <c r="C538" s="1"/>
      <c r="D538" s="1" t="str">
        <f t="shared" si="1"/>
        <v/>
      </c>
      <c r="F538" s="1"/>
      <c r="G538" s="1"/>
      <c r="H538" s="1" t="str">
        <f t="shared" si="2"/>
        <v/>
      </c>
      <c r="J538" s="274"/>
      <c r="K538" s="72"/>
      <c r="L538" s="72"/>
      <c r="M538" s="72"/>
      <c r="N538" s="72"/>
      <c r="O538" s="72">
        <f t="shared" si="7"/>
        <v>0</v>
      </c>
      <c r="P538" s="72"/>
      <c r="Q538" s="72"/>
      <c r="R538" s="72">
        <f t="shared" si="8"/>
        <v>0</v>
      </c>
      <c r="S538" s="72"/>
      <c r="T538" s="72"/>
      <c r="V538" s="72"/>
      <c r="W538" s="72"/>
      <c r="X538" s="72" t="str">
        <f t="shared" si="3"/>
        <v/>
      </c>
      <c r="Y538" s="72"/>
    </row>
    <row r="539">
      <c r="B539" s="1"/>
      <c r="C539" s="1"/>
      <c r="D539" s="1" t="str">
        <f t="shared" si="1"/>
        <v/>
      </c>
      <c r="F539" s="1"/>
      <c r="G539" s="1"/>
      <c r="H539" s="1" t="str">
        <f t="shared" si="2"/>
        <v/>
      </c>
      <c r="J539" s="274"/>
      <c r="K539" s="72"/>
      <c r="L539" s="72"/>
      <c r="M539" s="72"/>
      <c r="N539" s="72"/>
      <c r="O539" s="72">
        <f t="shared" si="7"/>
        <v>0</v>
      </c>
      <c r="P539" s="72"/>
      <c r="Q539" s="72"/>
      <c r="R539" s="72">
        <f t="shared" si="8"/>
        <v>0</v>
      </c>
      <c r="S539" s="72"/>
      <c r="T539" s="72"/>
      <c r="V539" s="72"/>
      <c r="W539" s="72"/>
      <c r="X539" s="72" t="str">
        <f t="shared" si="3"/>
        <v/>
      </c>
      <c r="Y539" s="72"/>
    </row>
    <row r="540">
      <c r="B540" s="1"/>
      <c r="C540" s="1"/>
      <c r="D540" s="1" t="str">
        <f t="shared" si="1"/>
        <v/>
      </c>
      <c r="F540" s="1"/>
      <c r="G540" s="1"/>
      <c r="H540" s="1" t="str">
        <f t="shared" si="2"/>
        <v/>
      </c>
      <c r="J540" s="274"/>
      <c r="K540" s="72"/>
      <c r="L540" s="72"/>
      <c r="M540" s="72"/>
      <c r="N540" s="72"/>
      <c r="O540" s="72">
        <f t="shared" si="7"/>
        <v>0</v>
      </c>
      <c r="P540" s="72"/>
      <c r="Q540" s="72"/>
      <c r="R540" s="72">
        <f t="shared" si="8"/>
        <v>0</v>
      </c>
      <c r="S540" s="72"/>
      <c r="T540" s="72"/>
      <c r="V540" s="72"/>
      <c r="W540" s="72"/>
      <c r="X540" s="72" t="str">
        <f t="shared" si="3"/>
        <v/>
      </c>
      <c r="Y540" s="72"/>
    </row>
    <row r="541">
      <c r="B541" s="1"/>
      <c r="C541" s="1"/>
      <c r="D541" s="1" t="str">
        <f t="shared" si="1"/>
        <v/>
      </c>
      <c r="F541" s="1"/>
      <c r="G541" s="1"/>
      <c r="H541" s="1" t="str">
        <f t="shared" si="2"/>
        <v/>
      </c>
      <c r="J541" s="274"/>
      <c r="K541" s="72"/>
      <c r="L541" s="72"/>
      <c r="M541" s="72"/>
      <c r="N541" s="72"/>
      <c r="O541" s="72">
        <f t="shared" si="7"/>
        <v>0</v>
      </c>
      <c r="P541" s="72"/>
      <c r="Q541" s="72"/>
      <c r="R541" s="72">
        <f t="shared" si="8"/>
        <v>0</v>
      </c>
      <c r="S541" s="72"/>
      <c r="T541" s="72"/>
      <c r="V541" s="72"/>
      <c r="W541" s="72"/>
      <c r="X541" s="72" t="str">
        <f t="shared" si="3"/>
        <v/>
      </c>
      <c r="Y541" s="72"/>
    </row>
    <row r="542">
      <c r="B542" s="1"/>
      <c r="C542" s="1"/>
      <c r="D542" s="1" t="str">
        <f t="shared" si="1"/>
        <v/>
      </c>
      <c r="F542" s="1"/>
      <c r="G542" s="1"/>
      <c r="H542" s="1" t="str">
        <f t="shared" si="2"/>
        <v/>
      </c>
      <c r="J542" s="274"/>
      <c r="K542" s="72"/>
      <c r="L542" s="72"/>
      <c r="M542" s="72"/>
      <c r="N542" s="72"/>
      <c r="O542" s="72">
        <f t="shared" si="7"/>
        <v>0</v>
      </c>
      <c r="P542" s="72"/>
      <c r="Q542" s="72"/>
      <c r="R542" s="72">
        <f t="shared" si="8"/>
        <v>0</v>
      </c>
      <c r="S542" s="72"/>
      <c r="T542" s="72"/>
      <c r="V542" s="72"/>
      <c r="W542" s="72"/>
      <c r="X542" s="72" t="str">
        <f t="shared" si="3"/>
        <v/>
      </c>
      <c r="Y542" s="72"/>
    </row>
    <row r="543">
      <c r="B543" s="1"/>
      <c r="C543" s="1"/>
      <c r="D543" s="1" t="str">
        <f t="shared" si="1"/>
        <v/>
      </c>
      <c r="F543" s="1"/>
      <c r="G543" s="1"/>
      <c r="H543" s="1" t="str">
        <f t="shared" si="2"/>
        <v/>
      </c>
      <c r="J543" s="274"/>
      <c r="K543" s="72"/>
      <c r="L543" s="72"/>
      <c r="M543" s="72"/>
      <c r="N543" s="72"/>
      <c r="O543" s="72">
        <f t="shared" si="7"/>
        <v>0</v>
      </c>
      <c r="P543" s="72"/>
      <c r="Q543" s="72"/>
      <c r="R543" s="72">
        <f t="shared" si="8"/>
        <v>0</v>
      </c>
      <c r="S543" s="72"/>
      <c r="T543" s="72"/>
      <c r="V543" s="72"/>
      <c r="W543" s="72"/>
      <c r="X543" s="72" t="str">
        <f t="shared" si="3"/>
        <v/>
      </c>
      <c r="Y543" s="72"/>
    </row>
    <row r="544">
      <c r="B544" s="1"/>
      <c r="C544" s="1"/>
      <c r="D544" s="1" t="str">
        <f t="shared" si="1"/>
        <v/>
      </c>
      <c r="F544" s="1"/>
      <c r="G544" s="1"/>
      <c r="H544" s="1" t="str">
        <f t="shared" si="2"/>
        <v/>
      </c>
      <c r="J544" s="274"/>
      <c r="K544" s="72"/>
      <c r="L544" s="72"/>
      <c r="M544" s="72"/>
      <c r="N544" s="72"/>
      <c r="O544" s="72">
        <f t="shared" si="7"/>
        <v>0</v>
      </c>
      <c r="P544" s="72"/>
      <c r="Q544" s="72"/>
      <c r="R544" s="72">
        <f t="shared" si="8"/>
        <v>0</v>
      </c>
      <c r="S544" s="72"/>
      <c r="T544" s="72"/>
      <c r="V544" s="72"/>
      <c r="W544" s="72"/>
      <c r="X544" s="72" t="str">
        <f t="shared" si="3"/>
        <v/>
      </c>
      <c r="Y544" s="72"/>
    </row>
    <row r="545">
      <c r="B545" s="1"/>
      <c r="C545" s="1"/>
      <c r="D545" s="1" t="str">
        <f t="shared" si="1"/>
        <v/>
      </c>
      <c r="F545" s="1"/>
      <c r="G545" s="1"/>
      <c r="H545" s="1" t="str">
        <f t="shared" si="2"/>
        <v/>
      </c>
      <c r="J545" s="274"/>
      <c r="K545" s="72"/>
      <c r="L545" s="72"/>
      <c r="M545" s="72"/>
      <c r="N545" s="72"/>
      <c r="O545" s="72">
        <f t="shared" si="7"/>
        <v>0</v>
      </c>
      <c r="P545" s="72"/>
      <c r="Q545" s="72"/>
      <c r="R545" s="72">
        <f t="shared" si="8"/>
        <v>0</v>
      </c>
      <c r="S545" s="72"/>
      <c r="T545" s="72"/>
      <c r="V545" s="72"/>
      <c r="W545" s="72"/>
      <c r="X545" s="72" t="str">
        <f t="shared" si="3"/>
        <v/>
      </c>
      <c r="Y545" s="72"/>
    </row>
    <row r="546">
      <c r="B546" s="1"/>
      <c r="C546" s="1"/>
      <c r="D546" s="1" t="str">
        <f t="shared" si="1"/>
        <v/>
      </c>
      <c r="F546" s="1"/>
      <c r="G546" s="1"/>
      <c r="H546" s="1" t="str">
        <f t="shared" si="2"/>
        <v/>
      </c>
      <c r="J546" s="274"/>
      <c r="K546" s="72"/>
      <c r="L546" s="72"/>
      <c r="M546" s="72"/>
      <c r="N546" s="72"/>
      <c r="O546" s="72">
        <f t="shared" si="7"/>
        <v>0</v>
      </c>
      <c r="P546" s="72"/>
      <c r="Q546" s="72"/>
      <c r="R546" s="72">
        <f t="shared" si="8"/>
        <v>0</v>
      </c>
      <c r="S546" s="72"/>
      <c r="T546" s="72"/>
      <c r="V546" s="72"/>
      <c r="W546" s="72"/>
      <c r="X546" s="72" t="str">
        <f t="shared" si="3"/>
        <v/>
      </c>
      <c r="Y546" s="72"/>
    </row>
    <row r="547">
      <c r="B547" s="1"/>
      <c r="C547" s="1"/>
      <c r="D547" s="1" t="str">
        <f t="shared" si="1"/>
        <v/>
      </c>
      <c r="F547" s="1"/>
      <c r="G547" s="1"/>
      <c r="H547" s="1" t="str">
        <f t="shared" si="2"/>
        <v/>
      </c>
      <c r="J547" s="274"/>
      <c r="K547" s="72"/>
      <c r="L547" s="72"/>
      <c r="M547" s="72"/>
      <c r="N547" s="72"/>
      <c r="O547" s="72">
        <f t="shared" si="7"/>
        <v>0</v>
      </c>
      <c r="P547" s="72"/>
      <c r="Q547" s="72"/>
      <c r="R547" s="72">
        <f t="shared" si="8"/>
        <v>0</v>
      </c>
      <c r="S547" s="72"/>
      <c r="T547" s="72"/>
      <c r="V547" s="72"/>
      <c r="W547" s="72"/>
      <c r="X547" s="72" t="str">
        <f t="shared" si="3"/>
        <v/>
      </c>
      <c r="Y547" s="72"/>
    </row>
    <row r="548">
      <c r="B548" s="1"/>
      <c r="C548" s="1"/>
      <c r="D548" s="1" t="str">
        <f t="shared" si="1"/>
        <v/>
      </c>
      <c r="F548" s="1"/>
      <c r="G548" s="1"/>
      <c r="H548" s="1" t="str">
        <f t="shared" si="2"/>
        <v/>
      </c>
      <c r="J548" s="274"/>
      <c r="K548" s="72"/>
      <c r="L548" s="72"/>
      <c r="M548" s="72"/>
      <c r="N548" s="72"/>
      <c r="O548" s="72">
        <f t="shared" si="7"/>
        <v>0</v>
      </c>
      <c r="P548" s="72"/>
      <c r="Q548" s="72"/>
      <c r="R548" s="72">
        <f t="shared" si="8"/>
        <v>0</v>
      </c>
      <c r="S548" s="72"/>
      <c r="T548" s="72"/>
      <c r="V548" s="72"/>
      <c r="W548" s="72"/>
      <c r="X548" s="72" t="str">
        <f t="shared" si="3"/>
        <v/>
      </c>
      <c r="Y548" s="72"/>
    </row>
    <row r="549">
      <c r="B549" s="1"/>
      <c r="C549" s="1"/>
      <c r="D549" s="1" t="str">
        <f t="shared" si="1"/>
        <v/>
      </c>
      <c r="F549" s="1"/>
      <c r="G549" s="1"/>
      <c r="H549" s="1" t="str">
        <f t="shared" si="2"/>
        <v/>
      </c>
      <c r="J549" s="274"/>
      <c r="K549" s="72"/>
      <c r="L549" s="72"/>
      <c r="M549" s="72"/>
      <c r="N549" s="72"/>
      <c r="O549" s="72">
        <f t="shared" si="7"/>
        <v>0</v>
      </c>
      <c r="P549" s="72"/>
      <c r="Q549" s="72"/>
      <c r="R549" s="72">
        <f t="shared" si="8"/>
        <v>0</v>
      </c>
      <c r="S549" s="72"/>
      <c r="T549" s="72"/>
      <c r="V549" s="72"/>
      <c r="W549" s="72"/>
      <c r="X549" s="72" t="str">
        <f t="shared" si="3"/>
        <v/>
      </c>
      <c r="Y549" s="72"/>
    </row>
    <row r="550">
      <c r="B550" s="1"/>
      <c r="C550" s="1"/>
      <c r="D550" s="1" t="str">
        <f t="shared" si="1"/>
        <v/>
      </c>
      <c r="F550" s="1"/>
      <c r="G550" s="1"/>
      <c r="H550" s="1" t="str">
        <f t="shared" si="2"/>
        <v/>
      </c>
      <c r="J550" s="274"/>
      <c r="K550" s="72"/>
      <c r="L550" s="72"/>
      <c r="M550" s="72"/>
      <c r="N550" s="72"/>
      <c r="O550" s="72">
        <f t="shared" si="7"/>
        <v>0</v>
      </c>
      <c r="P550" s="72"/>
      <c r="Q550" s="72"/>
      <c r="R550" s="72">
        <f t="shared" si="8"/>
        <v>0</v>
      </c>
      <c r="S550" s="72"/>
      <c r="T550" s="72"/>
      <c r="V550" s="72"/>
      <c r="W550" s="72"/>
      <c r="X550" s="72" t="str">
        <f t="shared" si="3"/>
        <v/>
      </c>
      <c r="Y550" s="72"/>
    </row>
    <row r="551">
      <c r="B551" s="1"/>
      <c r="C551" s="1"/>
      <c r="D551" s="1" t="str">
        <f t="shared" si="1"/>
        <v/>
      </c>
      <c r="F551" s="1"/>
      <c r="G551" s="1"/>
      <c r="H551" s="1" t="str">
        <f t="shared" si="2"/>
        <v/>
      </c>
      <c r="J551" s="274"/>
      <c r="K551" s="72"/>
      <c r="L551" s="72"/>
      <c r="M551" s="72"/>
      <c r="N551" s="72"/>
      <c r="O551" s="72">
        <f t="shared" si="7"/>
        <v>0</v>
      </c>
      <c r="P551" s="72"/>
      <c r="Q551" s="72"/>
      <c r="R551" s="72">
        <f t="shared" si="8"/>
        <v>0</v>
      </c>
      <c r="S551" s="72"/>
      <c r="T551" s="72"/>
      <c r="V551" s="72"/>
      <c r="W551" s="72"/>
      <c r="X551" s="72" t="str">
        <f t="shared" si="3"/>
        <v/>
      </c>
      <c r="Y551" s="72"/>
    </row>
    <row r="552">
      <c r="B552" s="1"/>
      <c r="C552" s="1"/>
      <c r="D552" s="1" t="str">
        <f t="shared" si="1"/>
        <v/>
      </c>
      <c r="F552" s="1"/>
      <c r="G552" s="1"/>
      <c r="H552" s="1" t="str">
        <f t="shared" si="2"/>
        <v/>
      </c>
      <c r="J552" s="274"/>
      <c r="K552" s="72"/>
      <c r="L552" s="72"/>
      <c r="M552" s="72"/>
      <c r="N552" s="72"/>
      <c r="O552" s="72">
        <f t="shared" si="7"/>
        <v>0</v>
      </c>
      <c r="P552" s="72"/>
      <c r="Q552" s="72"/>
      <c r="R552" s="72">
        <f t="shared" si="8"/>
        <v>0</v>
      </c>
      <c r="S552" s="72"/>
      <c r="T552" s="72"/>
      <c r="V552" s="72"/>
      <c r="W552" s="72"/>
      <c r="X552" s="72" t="str">
        <f t="shared" si="3"/>
        <v/>
      </c>
      <c r="Y552" s="72"/>
    </row>
    <row r="553">
      <c r="B553" s="1"/>
      <c r="C553" s="1"/>
      <c r="D553" s="1" t="str">
        <f t="shared" si="1"/>
        <v/>
      </c>
      <c r="F553" s="1"/>
      <c r="G553" s="1"/>
      <c r="H553" s="1" t="str">
        <f t="shared" si="2"/>
        <v/>
      </c>
      <c r="J553" s="274"/>
      <c r="K553" s="72"/>
      <c r="L553" s="72"/>
      <c r="M553" s="72"/>
      <c r="N553" s="72"/>
      <c r="O553" s="72">
        <f t="shared" si="7"/>
        <v>0</v>
      </c>
      <c r="P553" s="72"/>
      <c r="Q553" s="72"/>
      <c r="R553" s="72">
        <f t="shared" si="8"/>
        <v>0</v>
      </c>
      <c r="S553" s="72"/>
      <c r="T553" s="72"/>
      <c r="V553" s="72"/>
      <c r="W553" s="72"/>
      <c r="X553" s="72" t="str">
        <f t="shared" si="3"/>
        <v/>
      </c>
      <c r="Y553" s="72"/>
    </row>
    <row r="554">
      <c r="B554" s="1"/>
      <c r="C554" s="1"/>
      <c r="D554" s="1" t="str">
        <f t="shared" si="1"/>
        <v/>
      </c>
      <c r="F554" s="1"/>
      <c r="G554" s="1"/>
      <c r="H554" s="1" t="str">
        <f t="shared" si="2"/>
        <v/>
      </c>
      <c r="J554" s="274"/>
      <c r="K554" s="72"/>
      <c r="L554" s="72"/>
      <c r="M554" s="72"/>
      <c r="N554" s="72"/>
      <c r="O554" s="72">
        <f t="shared" si="7"/>
        <v>0</v>
      </c>
      <c r="P554" s="72"/>
      <c r="Q554" s="72"/>
      <c r="R554" s="72">
        <f t="shared" si="8"/>
        <v>0</v>
      </c>
      <c r="S554" s="72"/>
      <c r="T554" s="72"/>
      <c r="V554" s="72"/>
      <c r="W554" s="72"/>
      <c r="X554" s="72" t="str">
        <f t="shared" si="3"/>
        <v/>
      </c>
      <c r="Y554" s="72"/>
    </row>
    <row r="555">
      <c r="B555" s="1"/>
      <c r="C555" s="1"/>
      <c r="D555" s="1" t="str">
        <f t="shared" si="1"/>
        <v/>
      </c>
      <c r="F555" s="1"/>
      <c r="G555" s="1"/>
      <c r="H555" s="1" t="str">
        <f t="shared" si="2"/>
        <v/>
      </c>
      <c r="J555" s="274"/>
      <c r="K555" s="72"/>
      <c r="L555" s="72"/>
      <c r="M555" s="72"/>
      <c r="N555" s="72"/>
      <c r="O555" s="72">
        <f t="shared" si="7"/>
        <v>0</v>
      </c>
      <c r="P555" s="72"/>
      <c r="Q555" s="72"/>
      <c r="R555" s="72">
        <f t="shared" si="8"/>
        <v>0</v>
      </c>
      <c r="S555" s="72"/>
      <c r="T555" s="72"/>
      <c r="V555" s="72"/>
      <c r="W555" s="72"/>
      <c r="X555" s="72" t="str">
        <f t="shared" si="3"/>
        <v/>
      </c>
      <c r="Y555" s="72"/>
    </row>
    <row r="556">
      <c r="B556" s="1"/>
      <c r="C556" s="1"/>
      <c r="D556" s="1" t="str">
        <f t="shared" si="1"/>
        <v/>
      </c>
      <c r="F556" s="1"/>
      <c r="G556" s="1"/>
      <c r="H556" s="1" t="str">
        <f t="shared" si="2"/>
        <v/>
      </c>
      <c r="J556" s="274"/>
      <c r="K556" s="72"/>
      <c r="L556" s="72"/>
      <c r="M556" s="72"/>
      <c r="N556" s="72"/>
      <c r="O556" s="72">
        <f t="shared" si="7"/>
        <v>0</v>
      </c>
      <c r="P556" s="72"/>
      <c r="Q556" s="72"/>
      <c r="R556" s="72">
        <f t="shared" si="8"/>
        <v>0</v>
      </c>
      <c r="S556" s="72"/>
      <c r="T556" s="72"/>
      <c r="V556" s="72"/>
      <c r="W556" s="72"/>
      <c r="X556" s="72" t="str">
        <f t="shared" si="3"/>
        <v/>
      </c>
      <c r="Y556" s="72"/>
    </row>
    <row r="557">
      <c r="B557" s="1"/>
      <c r="C557" s="1"/>
      <c r="D557" s="1" t="str">
        <f t="shared" si="1"/>
        <v/>
      </c>
      <c r="F557" s="1"/>
      <c r="G557" s="1"/>
      <c r="H557" s="1" t="str">
        <f t="shared" si="2"/>
        <v/>
      </c>
      <c r="J557" s="274"/>
      <c r="K557" s="72"/>
      <c r="L557" s="72"/>
      <c r="M557" s="72"/>
      <c r="N557" s="72"/>
      <c r="O557" s="72">
        <f t="shared" si="7"/>
        <v>0</v>
      </c>
      <c r="P557" s="72"/>
      <c r="Q557" s="72"/>
      <c r="R557" s="72">
        <f t="shared" si="8"/>
        <v>0</v>
      </c>
      <c r="S557" s="72"/>
      <c r="T557" s="72"/>
      <c r="V557" s="72"/>
      <c r="W557" s="72"/>
      <c r="X557" s="72" t="str">
        <f t="shared" si="3"/>
        <v/>
      </c>
      <c r="Y557" s="72"/>
    </row>
    <row r="558">
      <c r="B558" s="1"/>
      <c r="C558" s="1"/>
      <c r="D558" s="1" t="str">
        <f t="shared" si="1"/>
        <v/>
      </c>
      <c r="F558" s="1"/>
      <c r="G558" s="1"/>
      <c r="H558" s="1" t="str">
        <f t="shared" si="2"/>
        <v/>
      </c>
      <c r="J558" s="274"/>
      <c r="K558" s="72"/>
      <c r="L558" s="72"/>
      <c r="M558" s="72"/>
      <c r="N558" s="72"/>
      <c r="O558" s="72">
        <f t="shared" si="7"/>
        <v>0</v>
      </c>
      <c r="P558" s="72"/>
      <c r="Q558" s="72"/>
      <c r="R558" s="72">
        <f t="shared" si="8"/>
        <v>0</v>
      </c>
      <c r="S558" s="72"/>
      <c r="T558" s="72"/>
      <c r="V558" s="72"/>
      <c r="W558" s="72"/>
      <c r="X558" s="72" t="str">
        <f t="shared" si="3"/>
        <v/>
      </c>
      <c r="Y558" s="72"/>
    </row>
    <row r="559">
      <c r="B559" s="1"/>
      <c r="C559" s="1"/>
      <c r="D559" s="1" t="str">
        <f t="shared" si="1"/>
        <v/>
      </c>
      <c r="F559" s="1"/>
      <c r="G559" s="1"/>
      <c r="H559" s="1" t="str">
        <f t="shared" si="2"/>
        <v/>
      </c>
      <c r="J559" s="274"/>
      <c r="K559" s="72"/>
      <c r="L559" s="72"/>
      <c r="M559" s="72"/>
      <c r="N559" s="72"/>
      <c r="O559" s="72">
        <f t="shared" si="7"/>
        <v>0</v>
      </c>
      <c r="P559" s="72"/>
      <c r="Q559" s="72"/>
      <c r="R559" s="72">
        <f t="shared" si="8"/>
        <v>0</v>
      </c>
      <c r="S559" s="72"/>
      <c r="T559" s="72"/>
      <c r="V559" s="72"/>
      <c r="W559" s="72"/>
      <c r="X559" s="72" t="str">
        <f t="shared" si="3"/>
        <v/>
      </c>
      <c r="Y559" s="72"/>
    </row>
    <row r="560">
      <c r="B560" s="1"/>
      <c r="C560" s="1"/>
      <c r="D560" s="1" t="str">
        <f t="shared" si="1"/>
        <v/>
      </c>
      <c r="F560" s="1"/>
      <c r="G560" s="1"/>
      <c r="H560" s="1" t="str">
        <f t="shared" si="2"/>
        <v/>
      </c>
      <c r="J560" s="274"/>
      <c r="K560" s="72"/>
      <c r="L560" s="72"/>
      <c r="M560" s="72"/>
      <c r="N560" s="72"/>
      <c r="O560" s="72">
        <f t="shared" si="7"/>
        <v>0</v>
      </c>
      <c r="P560" s="72"/>
      <c r="Q560" s="72"/>
      <c r="R560" s="72">
        <f t="shared" si="8"/>
        <v>0</v>
      </c>
      <c r="S560" s="72"/>
      <c r="T560" s="72"/>
      <c r="V560" s="72"/>
      <c r="W560" s="72"/>
      <c r="X560" s="72" t="str">
        <f t="shared" si="3"/>
        <v/>
      </c>
      <c r="Y560" s="72"/>
    </row>
    <row r="561">
      <c r="B561" s="1"/>
      <c r="C561" s="1"/>
      <c r="D561" s="1" t="str">
        <f t="shared" si="1"/>
        <v/>
      </c>
      <c r="F561" s="1"/>
      <c r="G561" s="1"/>
      <c r="H561" s="1" t="str">
        <f t="shared" si="2"/>
        <v/>
      </c>
      <c r="J561" s="274"/>
      <c r="K561" s="72"/>
      <c r="L561" s="72"/>
      <c r="M561" s="72"/>
      <c r="N561" s="72"/>
      <c r="O561" s="72">
        <f t="shared" si="7"/>
        <v>0</v>
      </c>
      <c r="P561" s="72"/>
      <c r="Q561" s="72"/>
      <c r="R561" s="72">
        <f t="shared" si="8"/>
        <v>0</v>
      </c>
      <c r="S561" s="72"/>
      <c r="T561" s="72"/>
      <c r="V561" s="72"/>
      <c r="W561" s="72"/>
      <c r="X561" s="72" t="str">
        <f t="shared" si="3"/>
        <v/>
      </c>
      <c r="Y561" s="72"/>
    </row>
    <row r="562">
      <c r="B562" s="1"/>
      <c r="C562" s="1"/>
      <c r="D562" s="1" t="str">
        <f t="shared" si="1"/>
        <v/>
      </c>
      <c r="F562" s="1"/>
      <c r="G562" s="1"/>
      <c r="H562" s="1" t="str">
        <f t="shared" si="2"/>
        <v/>
      </c>
      <c r="J562" s="274"/>
      <c r="K562" s="72"/>
      <c r="L562" s="72"/>
      <c r="M562" s="72"/>
      <c r="N562" s="72"/>
      <c r="O562" s="72">
        <f t="shared" si="7"/>
        <v>0</v>
      </c>
      <c r="P562" s="72"/>
      <c r="Q562" s="72"/>
      <c r="R562" s="72">
        <f t="shared" si="8"/>
        <v>0</v>
      </c>
      <c r="S562" s="72"/>
      <c r="T562" s="72"/>
      <c r="V562" s="72"/>
      <c r="W562" s="72"/>
      <c r="X562" s="72" t="str">
        <f t="shared" si="3"/>
        <v/>
      </c>
      <c r="Y562" s="72"/>
    </row>
    <row r="563">
      <c r="B563" s="1"/>
      <c r="C563" s="1"/>
      <c r="D563" s="1" t="str">
        <f t="shared" si="1"/>
        <v/>
      </c>
      <c r="F563" s="1"/>
      <c r="G563" s="1"/>
      <c r="H563" s="1" t="str">
        <f t="shared" si="2"/>
        <v/>
      </c>
      <c r="J563" s="274"/>
      <c r="K563" s="72"/>
      <c r="L563" s="72"/>
      <c r="M563" s="72"/>
      <c r="N563" s="72"/>
      <c r="O563" s="72">
        <f t="shared" si="7"/>
        <v>0</v>
      </c>
      <c r="P563" s="72"/>
      <c r="Q563" s="72"/>
      <c r="R563" s="72">
        <f t="shared" si="8"/>
        <v>0</v>
      </c>
      <c r="S563" s="72"/>
      <c r="T563" s="72"/>
      <c r="V563" s="72"/>
      <c r="W563" s="72"/>
      <c r="X563" s="72" t="str">
        <f t="shared" si="3"/>
        <v/>
      </c>
      <c r="Y563" s="72"/>
    </row>
    <row r="564">
      <c r="B564" s="1"/>
      <c r="C564" s="1"/>
      <c r="D564" s="1" t="str">
        <f t="shared" si="1"/>
        <v/>
      </c>
      <c r="F564" s="1"/>
      <c r="G564" s="1"/>
      <c r="H564" s="1" t="str">
        <f t="shared" si="2"/>
        <v/>
      </c>
      <c r="J564" s="274"/>
      <c r="K564" s="72"/>
      <c r="L564" s="72"/>
      <c r="M564" s="72"/>
      <c r="N564" s="72"/>
      <c r="O564" s="72">
        <f t="shared" si="7"/>
        <v>0</v>
      </c>
      <c r="P564" s="72"/>
      <c r="Q564" s="72"/>
      <c r="R564" s="72">
        <f t="shared" si="8"/>
        <v>0</v>
      </c>
      <c r="S564" s="72"/>
      <c r="T564" s="72"/>
      <c r="V564" s="72"/>
      <c r="W564" s="72"/>
      <c r="X564" s="72" t="str">
        <f t="shared" si="3"/>
        <v/>
      </c>
      <c r="Y564" s="72"/>
    </row>
    <row r="565">
      <c r="B565" s="1"/>
      <c r="C565" s="1"/>
      <c r="D565" s="1" t="str">
        <f t="shared" si="1"/>
        <v/>
      </c>
      <c r="F565" s="1"/>
      <c r="G565" s="1"/>
      <c r="H565" s="1" t="str">
        <f t="shared" si="2"/>
        <v/>
      </c>
      <c r="J565" s="274"/>
      <c r="K565" s="72"/>
      <c r="L565" s="72"/>
      <c r="M565" s="72"/>
      <c r="N565" s="72"/>
      <c r="O565" s="72">
        <f t="shared" si="7"/>
        <v>0</v>
      </c>
      <c r="P565" s="72"/>
      <c r="Q565" s="72"/>
      <c r="R565" s="72">
        <f t="shared" si="8"/>
        <v>0</v>
      </c>
      <c r="S565" s="72"/>
      <c r="T565" s="72"/>
      <c r="V565" s="72"/>
      <c r="W565" s="72"/>
      <c r="X565" s="72" t="str">
        <f t="shared" si="3"/>
        <v/>
      </c>
      <c r="Y565" s="72"/>
    </row>
    <row r="566">
      <c r="B566" s="1"/>
      <c r="C566" s="1"/>
      <c r="D566" s="1" t="str">
        <f t="shared" si="1"/>
        <v/>
      </c>
      <c r="F566" s="1"/>
      <c r="G566" s="1"/>
      <c r="H566" s="1" t="str">
        <f t="shared" si="2"/>
        <v/>
      </c>
      <c r="J566" s="274"/>
      <c r="K566" s="72"/>
      <c r="L566" s="72"/>
      <c r="M566" s="72"/>
      <c r="N566" s="72"/>
      <c r="O566" s="72">
        <f t="shared" si="7"/>
        <v>0</v>
      </c>
      <c r="P566" s="72"/>
      <c r="Q566" s="72"/>
      <c r="R566" s="72">
        <f t="shared" si="8"/>
        <v>0</v>
      </c>
      <c r="S566" s="72"/>
      <c r="T566" s="72"/>
      <c r="V566" s="72"/>
      <c r="W566" s="72"/>
      <c r="X566" s="72" t="str">
        <f t="shared" si="3"/>
        <v/>
      </c>
      <c r="Y566" s="72"/>
    </row>
    <row r="567">
      <c r="B567" s="1"/>
      <c r="C567" s="1"/>
      <c r="D567" s="1" t="str">
        <f t="shared" si="1"/>
        <v/>
      </c>
      <c r="F567" s="1"/>
      <c r="G567" s="1"/>
      <c r="H567" s="1" t="str">
        <f t="shared" si="2"/>
        <v/>
      </c>
      <c r="J567" s="274"/>
      <c r="K567" s="72"/>
      <c r="L567" s="72"/>
      <c r="M567" s="72"/>
      <c r="N567" s="72"/>
      <c r="O567" s="72">
        <f t="shared" si="7"/>
        <v>0</v>
      </c>
      <c r="P567" s="72"/>
      <c r="Q567" s="72"/>
      <c r="R567" s="72">
        <f t="shared" si="8"/>
        <v>0</v>
      </c>
      <c r="S567" s="72"/>
      <c r="T567" s="72"/>
      <c r="V567" s="72"/>
      <c r="W567" s="72"/>
      <c r="X567" s="72" t="str">
        <f t="shared" si="3"/>
        <v/>
      </c>
      <c r="Y567" s="72"/>
    </row>
    <row r="568">
      <c r="B568" s="1"/>
      <c r="C568" s="1"/>
      <c r="D568" s="1" t="str">
        <f t="shared" si="1"/>
        <v/>
      </c>
      <c r="F568" s="1"/>
      <c r="G568" s="1"/>
      <c r="H568" s="1" t="str">
        <f t="shared" si="2"/>
        <v/>
      </c>
      <c r="J568" s="274"/>
      <c r="K568" s="72"/>
      <c r="L568" s="72"/>
      <c r="M568" s="72"/>
      <c r="N568" s="72"/>
      <c r="O568" s="72">
        <f t="shared" si="7"/>
        <v>0</v>
      </c>
      <c r="P568" s="72"/>
      <c r="Q568" s="72"/>
      <c r="R568" s="72">
        <f t="shared" si="8"/>
        <v>0</v>
      </c>
      <c r="S568" s="72"/>
      <c r="T568" s="72"/>
      <c r="V568" s="72"/>
      <c r="W568" s="72"/>
      <c r="X568" s="72" t="str">
        <f t="shared" si="3"/>
        <v/>
      </c>
      <c r="Y568" s="72"/>
    </row>
    <row r="569">
      <c r="B569" s="1"/>
      <c r="C569" s="1"/>
      <c r="D569" s="1" t="str">
        <f t="shared" si="1"/>
        <v/>
      </c>
      <c r="F569" s="1"/>
      <c r="G569" s="1"/>
      <c r="H569" s="1" t="str">
        <f t="shared" si="2"/>
        <v/>
      </c>
      <c r="J569" s="274"/>
      <c r="K569" s="72"/>
      <c r="L569" s="72"/>
      <c r="M569" s="72"/>
      <c r="N569" s="72"/>
      <c r="O569" s="72">
        <f t="shared" si="7"/>
        <v>0</v>
      </c>
      <c r="P569" s="72"/>
      <c r="Q569" s="72"/>
      <c r="R569" s="72">
        <f t="shared" si="8"/>
        <v>0</v>
      </c>
      <c r="S569" s="72"/>
      <c r="T569" s="72"/>
      <c r="V569" s="72"/>
      <c r="W569" s="72"/>
      <c r="X569" s="72" t="str">
        <f t="shared" si="3"/>
        <v/>
      </c>
      <c r="Y569" s="72"/>
    </row>
    <row r="570">
      <c r="B570" s="1"/>
      <c r="C570" s="1"/>
      <c r="D570" s="1" t="str">
        <f t="shared" si="1"/>
        <v/>
      </c>
      <c r="F570" s="1"/>
      <c r="G570" s="1"/>
      <c r="H570" s="1" t="str">
        <f t="shared" si="2"/>
        <v/>
      </c>
      <c r="J570" s="274"/>
      <c r="K570" s="72"/>
      <c r="L570" s="72"/>
      <c r="M570" s="72"/>
      <c r="N570" s="72"/>
      <c r="O570" s="72">
        <f t="shared" si="7"/>
        <v>0</v>
      </c>
      <c r="P570" s="72"/>
      <c r="Q570" s="72"/>
      <c r="R570" s="72">
        <f t="shared" si="8"/>
        <v>0</v>
      </c>
      <c r="S570" s="72"/>
      <c r="T570" s="72"/>
      <c r="V570" s="72"/>
      <c r="W570" s="72"/>
      <c r="X570" s="72" t="str">
        <f t="shared" si="3"/>
        <v/>
      </c>
      <c r="Y570" s="72"/>
    </row>
    <row r="571">
      <c r="B571" s="1"/>
      <c r="C571" s="1"/>
      <c r="D571" s="1" t="str">
        <f t="shared" si="1"/>
        <v/>
      </c>
      <c r="F571" s="1"/>
      <c r="G571" s="1"/>
      <c r="H571" s="1" t="str">
        <f t="shared" si="2"/>
        <v/>
      </c>
      <c r="J571" s="274"/>
      <c r="K571" s="72"/>
      <c r="L571" s="72"/>
      <c r="M571" s="72"/>
      <c r="N571" s="72"/>
      <c r="O571" s="72">
        <f t="shared" si="7"/>
        <v>0</v>
      </c>
      <c r="P571" s="72"/>
      <c r="Q571" s="72"/>
      <c r="R571" s="72">
        <f t="shared" si="8"/>
        <v>0</v>
      </c>
      <c r="S571" s="72"/>
      <c r="T571" s="72"/>
      <c r="V571" s="72"/>
      <c r="W571" s="72"/>
      <c r="X571" s="72" t="str">
        <f t="shared" si="3"/>
        <v/>
      </c>
      <c r="Y571" s="72"/>
    </row>
    <row r="572">
      <c r="B572" s="1"/>
      <c r="C572" s="1"/>
      <c r="D572" s="1" t="str">
        <f t="shared" si="1"/>
        <v/>
      </c>
      <c r="F572" s="1"/>
      <c r="G572" s="1"/>
      <c r="H572" s="1" t="str">
        <f t="shared" si="2"/>
        <v/>
      </c>
      <c r="J572" s="274"/>
      <c r="K572" s="72"/>
      <c r="L572" s="72"/>
      <c r="M572" s="72"/>
      <c r="N572" s="72"/>
      <c r="O572" s="72">
        <f t="shared" si="7"/>
        <v>0</v>
      </c>
      <c r="P572" s="72"/>
      <c r="Q572" s="72"/>
      <c r="R572" s="72">
        <f t="shared" si="8"/>
        <v>0</v>
      </c>
      <c r="S572" s="72"/>
      <c r="T572" s="72"/>
      <c r="V572" s="72"/>
      <c r="W572" s="72"/>
      <c r="X572" s="72" t="str">
        <f t="shared" si="3"/>
        <v/>
      </c>
      <c r="Y572" s="72"/>
    </row>
    <row r="573">
      <c r="B573" s="1"/>
      <c r="C573" s="1"/>
      <c r="D573" s="1" t="str">
        <f t="shared" si="1"/>
        <v/>
      </c>
      <c r="F573" s="1"/>
      <c r="G573" s="1"/>
      <c r="H573" s="1" t="str">
        <f t="shared" si="2"/>
        <v/>
      </c>
      <c r="J573" s="274"/>
      <c r="K573" s="72"/>
      <c r="L573" s="72"/>
      <c r="M573" s="72"/>
      <c r="N573" s="72"/>
      <c r="O573" s="72">
        <f t="shared" si="7"/>
        <v>0</v>
      </c>
      <c r="P573" s="72"/>
      <c r="Q573" s="72"/>
      <c r="R573" s="72">
        <f t="shared" si="8"/>
        <v>0</v>
      </c>
      <c r="S573" s="72"/>
      <c r="T573" s="72"/>
      <c r="V573" s="72"/>
      <c r="W573" s="72"/>
      <c r="X573" s="72" t="str">
        <f t="shared" si="3"/>
        <v/>
      </c>
      <c r="Y573" s="72"/>
    </row>
    <row r="574">
      <c r="B574" s="1"/>
      <c r="C574" s="1"/>
      <c r="D574" s="1" t="str">
        <f t="shared" si="1"/>
        <v/>
      </c>
      <c r="F574" s="1"/>
      <c r="G574" s="1"/>
      <c r="H574" s="1" t="str">
        <f t="shared" si="2"/>
        <v/>
      </c>
      <c r="J574" s="274"/>
      <c r="K574" s="72"/>
      <c r="L574" s="72"/>
      <c r="M574" s="72"/>
      <c r="N574" s="72"/>
      <c r="O574" s="72">
        <f t="shared" si="7"/>
        <v>0</v>
      </c>
      <c r="P574" s="72"/>
      <c r="Q574" s="72"/>
      <c r="R574" s="72">
        <f t="shared" si="8"/>
        <v>0</v>
      </c>
      <c r="S574" s="72"/>
      <c r="T574" s="72"/>
      <c r="V574" s="72"/>
      <c r="W574" s="72"/>
      <c r="X574" s="72" t="str">
        <f t="shared" si="3"/>
        <v/>
      </c>
      <c r="Y574" s="72"/>
    </row>
    <row r="575">
      <c r="B575" s="1"/>
      <c r="C575" s="1"/>
      <c r="D575" s="1" t="str">
        <f t="shared" si="1"/>
        <v/>
      </c>
      <c r="F575" s="1"/>
      <c r="G575" s="1"/>
      <c r="H575" s="1" t="str">
        <f t="shared" si="2"/>
        <v/>
      </c>
      <c r="J575" s="274"/>
      <c r="K575" s="72"/>
      <c r="L575" s="72"/>
      <c r="M575" s="72"/>
      <c r="N575" s="72"/>
      <c r="O575" s="72">
        <f t="shared" si="7"/>
        <v>0</v>
      </c>
      <c r="P575" s="72"/>
      <c r="Q575" s="72"/>
      <c r="R575" s="72">
        <f t="shared" si="8"/>
        <v>0</v>
      </c>
      <c r="S575" s="72"/>
      <c r="T575" s="72"/>
      <c r="V575" s="72"/>
      <c r="W575" s="72"/>
      <c r="X575" s="72" t="str">
        <f t="shared" si="3"/>
        <v/>
      </c>
      <c r="Y575" s="72"/>
    </row>
    <row r="576">
      <c r="B576" s="1"/>
      <c r="C576" s="1"/>
      <c r="D576" s="1" t="str">
        <f t="shared" si="1"/>
        <v/>
      </c>
      <c r="F576" s="1"/>
      <c r="G576" s="1"/>
      <c r="H576" s="1" t="str">
        <f t="shared" si="2"/>
        <v/>
      </c>
      <c r="J576" s="274"/>
      <c r="K576" s="72"/>
      <c r="L576" s="72"/>
      <c r="M576" s="72"/>
      <c r="N576" s="72"/>
      <c r="O576" s="72">
        <f t="shared" si="7"/>
        <v>0</v>
      </c>
      <c r="P576" s="72"/>
      <c r="Q576" s="72"/>
      <c r="R576" s="72">
        <f t="shared" si="8"/>
        <v>0</v>
      </c>
      <c r="S576" s="72"/>
      <c r="T576" s="72"/>
      <c r="V576" s="72"/>
      <c r="W576" s="72"/>
      <c r="X576" s="72" t="str">
        <f t="shared" si="3"/>
        <v/>
      </c>
      <c r="Y576" s="72"/>
    </row>
    <row r="577">
      <c r="B577" s="1"/>
      <c r="C577" s="1"/>
      <c r="D577" s="1" t="str">
        <f t="shared" si="1"/>
        <v/>
      </c>
      <c r="F577" s="1"/>
      <c r="G577" s="1"/>
      <c r="H577" s="1" t="str">
        <f t="shared" si="2"/>
        <v/>
      </c>
      <c r="J577" s="274"/>
      <c r="K577" s="72"/>
      <c r="L577" s="72"/>
      <c r="M577" s="72"/>
      <c r="N577" s="72"/>
      <c r="O577" s="72">
        <f t="shared" si="7"/>
        <v>0</v>
      </c>
      <c r="P577" s="72"/>
      <c r="Q577" s="72"/>
      <c r="R577" s="72">
        <f t="shared" si="8"/>
        <v>0</v>
      </c>
      <c r="S577" s="72"/>
      <c r="T577" s="72"/>
      <c r="V577" s="72"/>
      <c r="W577" s="72"/>
      <c r="X577" s="72" t="str">
        <f t="shared" si="3"/>
        <v/>
      </c>
      <c r="Y577" s="72"/>
    </row>
    <row r="578">
      <c r="B578" s="1"/>
      <c r="C578" s="1"/>
      <c r="D578" s="1" t="str">
        <f t="shared" si="1"/>
        <v/>
      </c>
      <c r="F578" s="1"/>
      <c r="G578" s="1"/>
      <c r="H578" s="1" t="str">
        <f t="shared" si="2"/>
        <v/>
      </c>
      <c r="J578" s="274"/>
      <c r="K578" s="72"/>
      <c r="L578" s="72"/>
      <c r="M578" s="72"/>
      <c r="N578" s="72"/>
      <c r="O578" s="72">
        <f t="shared" si="7"/>
        <v>0</v>
      </c>
      <c r="P578" s="72"/>
      <c r="Q578" s="72"/>
      <c r="R578" s="72">
        <f t="shared" si="8"/>
        <v>0</v>
      </c>
      <c r="S578" s="72"/>
      <c r="T578" s="72"/>
      <c r="V578" s="72"/>
      <c r="W578" s="72"/>
      <c r="X578" s="72" t="str">
        <f t="shared" si="3"/>
        <v/>
      </c>
      <c r="Y578" s="72"/>
    </row>
    <row r="579">
      <c r="B579" s="1"/>
      <c r="C579" s="1"/>
      <c r="D579" s="1" t="str">
        <f t="shared" si="1"/>
        <v/>
      </c>
      <c r="F579" s="1"/>
      <c r="G579" s="1"/>
      <c r="H579" s="1" t="str">
        <f t="shared" si="2"/>
        <v/>
      </c>
      <c r="J579" s="274"/>
      <c r="K579" s="72"/>
      <c r="L579" s="72"/>
      <c r="M579" s="72"/>
      <c r="N579" s="72"/>
      <c r="O579" s="72">
        <f t="shared" si="7"/>
        <v>0</v>
      </c>
      <c r="P579" s="72"/>
      <c r="Q579" s="72"/>
      <c r="R579" s="72">
        <f t="shared" si="8"/>
        <v>0</v>
      </c>
      <c r="S579" s="72"/>
      <c r="T579" s="72"/>
      <c r="V579" s="72"/>
      <c r="W579" s="72"/>
      <c r="X579" s="72" t="str">
        <f t="shared" si="3"/>
        <v/>
      </c>
      <c r="Y579" s="72"/>
    </row>
    <row r="580">
      <c r="B580" s="1"/>
      <c r="C580" s="1"/>
      <c r="D580" s="1" t="str">
        <f t="shared" si="1"/>
        <v/>
      </c>
      <c r="F580" s="1"/>
      <c r="G580" s="1"/>
      <c r="H580" s="1" t="str">
        <f t="shared" si="2"/>
        <v/>
      </c>
      <c r="J580" s="274"/>
      <c r="K580" s="72"/>
      <c r="L580" s="72"/>
      <c r="M580" s="72"/>
      <c r="N580" s="72"/>
      <c r="O580" s="72">
        <f t="shared" si="7"/>
        <v>0</v>
      </c>
      <c r="P580" s="72"/>
      <c r="Q580" s="72"/>
      <c r="R580" s="72">
        <f t="shared" si="8"/>
        <v>0</v>
      </c>
      <c r="S580" s="72"/>
      <c r="T580" s="72"/>
      <c r="V580" s="72"/>
      <c r="W580" s="72"/>
      <c r="X580" s="72" t="str">
        <f t="shared" si="3"/>
        <v/>
      </c>
      <c r="Y580" s="72"/>
    </row>
    <row r="581">
      <c r="B581" s="1"/>
      <c r="C581" s="1"/>
      <c r="D581" s="1" t="str">
        <f t="shared" si="1"/>
        <v/>
      </c>
      <c r="F581" s="1"/>
      <c r="G581" s="1"/>
      <c r="H581" s="1" t="str">
        <f t="shared" si="2"/>
        <v/>
      </c>
      <c r="J581" s="274"/>
      <c r="K581" s="72"/>
      <c r="L581" s="72"/>
      <c r="M581" s="72"/>
      <c r="N581" s="72"/>
      <c r="O581" s="72">
        <f t="shared" si="7"/>
        <v>0</v>
      </c>
      <c r="P581" s="72"/>
      <c r="Q581" s="72"/>
      <c r="R581" s="72">
        <f t="shared" si="8"/>
        <v>0</v>
      </c>
      <c r="S581" s="72"/>
      <c r="T581" s="72"/>
      <c r="V581" s="72"/>
      <c r="W581" s="72"/>
      <c r="X581" s="72" t="str">
        <f t="shared" si="3"/>
        <v/>
      </c>
      <c r="Y581" s="72"/>
    </row>
    <row r="582">
      <c r="B582" s="1"/>
      <c r="C582" s="1"/>
      <c r="D582" s="1" t="str">
        <f t="shared" si="1"/>
        <v/>
      </c>
      <c r="F582" s="1"/>
      <c r="G582" s="1"/>
      <c r="H582" s="1" t="str">
        <f t="shared" si="2"/>
        <v/>
      </c>
      <c r="J582" s="274"/>
      <c r="K582" s="72"/>
      <c r="L582" s="72"/>
      <c r="M582" s="72"/>
      <c r="N582" s="72"/>
      <c r="O582" s="72">
        <f t="shared" si="7"/>
        <v>0</v>
      </c>
      <c r="P582" s="72"/>
      <c r="Q582" s="72"/>
      <c r="R582" s="72">
        <f t="shared" si="8"/>
        <v>0</v>
      </c>
      <c r="S582" s="72"/>
      <c r="T582" s="72"/>
      <c r="V582" s="72"/>
      <c r="W582" s="72"/>
      <c r="X582" s="72" t="str">
        <f t="shared" si="3"/>
        <v/>
      </c>
      <c r="Y582" s="72"/>
    </row>
    <row r="583">
      <c r="B583" s="1"/>
      <c r="C583" s="1"/>
      <c r="D583" s="1" t="str">
        <f t="shared" si="1"/>
        <v/>
      </c>
      <c r="F583" s="1"/>
      <c r="G583" s="1"/>
      <c r="H583" s="1" t="str">
        <f t="shared" si="2"/>
        <v/>
      </c>
      <c r="J583" s="274"/>
      <c r="K583" s="72"/>
      <c r="L583" s="72"/>
      <c r="M583" s="72"/>
      <c r="N583" s="72"/>
      <c r="O583" s="72">
        <f t="shared" si="7"/>
        <v>0</v>
      </c>
      <c r="P583" s="72"/>
      <c r="Q583" s="72"/>
      <c r="R583" s="72">
        <f t="shared" si="8"/>
        <v>0</v>
      </c>
      <c r="S583" s="72"/>
      <c r="T583" s="72"/>
      <c r="V583" s="72"/>
      <c r="W583" s="72"/>
      <c r="X583" s="72" t="str">
        <f t="shared" si="3"/>
        <v/>
      </c>
      <c r="Y583" s="72"/>
    </row>
    <row r="584">
      <c r="B584" s="1"/>
      <c r="C584" s="1"/>
      <c r="D584" s="1" t="str">
        <f t="shared" si="1"/>
        <v/>
      </c>
      <c r="F584" s="1"/>
      <c r="G584" s="1"/>
      <c r="H584" s="1" t="str">
        <f t="shared" si="2"/>
        <v/>
      </c>
      <c r="J584" s="274"/>
      <c r="K584" s="72"/>
      <c r="L584" s="72"/>
      <c r="M584" s="72"/>
      <c r="N584" s="72"/>
      <c r="O584" s="72">
        <f t="shared" si="7"/>
        <v>0</v>
      </c>
      <c r="P584" s="72"/>
      <c r="Q584" s="72"/>
      <c r="R584" s="72">
        <f t="shared" si="8"/>
        <v>0</v>
      </c>
      <c r="S584" s="72"/>
      <c r="T584" s="72"/>
      <c r="V584" s="72"/>
      <c r="W584" s="72"/>
      <c r="X584" s="72" t="str">
        <f t="shared" si="3"/>
        <v/>
      </c>
      <c r="Y584" s="72"/>
    </row>
    <row r="585">
      <c r="B585" s="1"/>
      <c r="C585" s="1"/>
      <c r="D585" s="1" t="str">
        <f t="shared" si="1"/>
        <v/>
      </c>
      <c r="F585" s="1"/>
      <c r="G585" s="1"/>
      <c r="H585" s="1" t="str">
        <f t="shared" si="2"/>
        <v/>
      </c>
      <c r="J585" s="274"/>
      <c r="K585" s="72"/>
      <c r="L585" s="72"/>
      <c r="M585" s="72"/>
      <c r="N585" s="72"/>
      <c r="O585" s="72">
        <f t="shared" si="7"/>
        <v>0</v>
      </c>
      <c r="P585" s="72"/>
      <c r="Q585" s="72"/>
      <c r="R585" s="72">
        <f t="shared" si="8"/>
        <v>0</v>
      </c>
      <c r="S585" s="72"/>
      <c r="T585" s="72"/>
      <c r="V585" s="72"/>
      <c r="W585" s="72"/>
      <c r="X585" s="72" t="str">
        <f t="shared" si="3"/>
        <v/>
      </c>
      <c r="Y585" s="72"/>
    </row>
    <row r="586">
      <c r="B586" s="1"/>
      <c r="C586" s="1"/>
      <c r="D586" s="1" t="str">
        <f t="shared" si="1"/>
        <v/>
      </c>
      <c r="F586" s="1"/>
      <c r="G586" s="1"/>
      <c r="H586" s="1" t="str">
        <f t="shared" si="2"/>
        <v/>
      </c>
      <c r="J586" s="274"/>
      <c r="K586" s="72"/>
      <c r="L586" s="72"/>
      <c r="M586" s="72"/>
      <c r="N586" s="72"/>
      <c r="O586" s="72">
        <f t="shared" si="7"/>
        <v>0</v>
      </c>
      <c r="P586" s="72"/>
      <c r="Q586" s="72"/>
      <c r="R586" s="72">
        <f t="shared" si="8"/>
        <v>0</v>
      </c>
      <c r="S586" s="72"/>
      <c r="T586" s="72"/>
      <c r="V586" s="72"/>
      <c r="W586" s="72"/>
      <c r="X586" s="72" t="str">
        <f t="shared" si="3"/>
        <v/>
      </c>
      <c r="Y586" s="72"/>
    </row>
    <row r="587">
      <c r="B587" s="1"/>
      <c r="C587" s="1"/>
      <c r="D587" s="1" t="str">
        <f t="shared" si="1"/>
        <v/>
      </c>
      <c r="F587" s="1"/>
      <c r="G587" s="1"/>
      <c r="H587" s="1" t="str">
        <f t="shared" si="2"/>
        <v/>
      </c>
      <c r="J587" s="274"/>
      <c r="K587" s="72"/>
      <c r="L587" s="72"/>
      <c r="M587" s="72"/>
      <c r="N587" s="72"/>
      <c r="O587" s="72">
        <f t="shared" si="7"/>
        <v>0</v>
      </c>
      <c r="P587" s="72"/>
      <c r="Q587" s="72"/>
      <c r="R587" s="72">
        <f t="shared" si="8"/>
        <v>0</v>
      </c>
      <c r="S587" s="72"/>
      <c r="T587" s="72"/>
      <c r="V587" s="72"/>
      <c r="W587" s="72"/>
      <c r="X587" s="72" t="str">
        <f t="shared" si="3"/>
        <v/>
      </c>
      <c r="Y587" s="72"/>
    </row>
    <row r="588">
      <c r="B588" s="1"/>
      <c r="C588" s="1"/>
      <c r="D588" s="1" t="str">
        <f t="shared" si="1"/>
        <v/>
      </c>
      <c r="F588" s="1"/>
      <c r="G588" s="1"/>
      <c r="H588" s="1" t="str">
        <f t="shared" si="2"/>
        <v/>
      </c>
      <c r="J588" s="274"/>
      <c r="K588" s="72"/>
      <c r="L588" s="72"/>
      <c r="M588" s="72"/>
      <c r="N588" s="72"/>
      <c r="O588" s="72">
        <f t="shared" si="7"/>
        <v>0</v>
      </c>
      <c r="P588" s="72"/>
      <c r="Q588" s="72"/>
      <c r="R588" s="72">
        <f t="shared" si="8"/>
        <v>0</v>
      </c>
      <c r="S588" s="72"/>
      <c r="T588" s="72"/>
      <c r="V588" s="72"/>
      <c r="W588" s="72"/>
      <c r="X588" s="72" t="str">
        <f t="shared" si="3"/>
        <v/>
      </c>
      <c r="Y588" s="72"/>
    </row>
    <row r="589">
      <c r="B589" s="1"/>
      <c r="C589" s="1"/>
      <c r="D589" s="1" t="str">
        <f t="shared" si="1"/>
        <v/>
      </c>
      <c r="F589" s="1"/>
      <c r="G589" s="1"/>
      <c r="H589" s="1" t="str">
        <f t="shared" si="2"/>
        <v/>
      </c>
      <c r="J589" s="274"/>
      <c r="K589" s="72"/>
      <c r="L589" s="72"/>
      <c r="M589" s="72"/>
      <c r="N589" s="72"/>
      <c r="O589" s="72">
        <f t="shared" si="7"/>
        <v>0</v>
      </c>
      <c r="P589" s="72"/>
      <c r="Q589" s="72"/>
      <c r="R589" s="72">
        <f t="shared" si="8"/>
        <v>0</v>
      </c>
      <c r="S589" s="72"/>
      <c r="T589" s="72"/>
      <c r="V589" s="72"/>
      <c r="W589" s="72"/>
      <c r="X589" s="72" t="str">
        <f t="shared" si="3"/>
        <v/>
      </c>
      <c r="Y589" s="72"/>
    </row>
    <row r="590">
      <c r="B590" s="1"/>
      <c r="C590" s="1"/>
      <c r="D590" s="1" t="str">
        <f t="shared" si="1"/>
        <v/>
      </c>
      <c r="F590" s="1"/>
      <c r="G590" s="1"/>
      <c r="H590" s="1" t="str">
        <f t="shared" si="2"/>
        <v/>
      </c>
      <c r="J590" s="274"/>
      <c r="K590" s="72"/>
      <c r="L590" s="72"/>
      <c r="M590" s="72"/>
      <c r="N590" s="72"/>
      <c r="O590" s="72">
        <f t="shared" si="7"/>
        <v>0</v>
      </c>
      <c r="P590" s="72"/>
      <c r="Q590" s="72"/>
      <c r="R590" s="72">
        <f t="shared" si="8"/>
        <v>0</v>
      </c>
      <c r="S590" s="72"/>
      <c r="T590" s="72"/>
      <c r="V590" s="72"/>
      <c r="W590" s="72"/>
      <c r="X590" s="72" t="str">
        <f t="shared" si="3"/>
        <v/>
      </c>
      <c r="Y590" s="72"/>
    </row>
    <row r="591">
      <c r="B591" s="1"/>
      <c r="C591" s="1"/>
      <c r="D591" s="1" t="str">
        <f t="shared" si="1"/>
        <v/>
      </c>
      <c r="F591" s="1"/>
      <c r="G591" s="1"/>
      <c r="H591" s="1" t="str">
        <f t="shared" si="2"/>
        <v/>
      </c>
      <c r="J591" s="274"/>
      <c r="K591" s="72"/>
      <c r="L591" s="72"/>
      <c r="M591" s="72"/>
      <c r="N591" s="72"/>
      <c r="O591" s="72">
        <f t="shared" si="7"/>
        <v>0</v>
      </c>
      <c r="P591" s="72"/>
      <c r="Q591" s="72"/>
      <c r="R591" s="72">
        <f t="shared" si="8"/>
        <v>0</v>
      </c>
      <c r="S591" s="72"/>
      <c r="T591" s="72"/>
      <c r="V591" s="72"/>
      <c r="W591" s="72"/>
      <c r="X591" s="72" t="str">
        <f t="shared" si="3"/>
        <v/>
      </c>
      <c r="Y591" s="72"/>
    </row>
    <row r="592">
      <c r="B592" s="1"/>
      <c r="C592" s="1"/>
      <c r="D592" s="1" t="str">
        <f t="shared" si="1"/>
        <v/>
      </c>
      <c r="F592" s="1"/>
      <c r="G592" s="1"/>
      <c r="H592" s="1" t="str">
        <f t="shared" si="2"/>
        <v/>
      </c>
      <c r="J592" s="274"/>
      <c r="K592" s="72"/>
      <c r="L592" s="72"/>
      <c r="M592" s="72"/>
      <c r="N592" s="72"/>
      <c r="O592" s="72">
        <f t="shared" si="7"/>
        <v>0</v>
      </c>
      <c r="P592" s="72"/>
      <c r="Q592" s="72"/>
      <c r="R592" s="72">
        <f t="shared" si="8"/>
        <v>0</v>
      </c>
      <c r="S592" s="72"/>
      <c r="T592" s="72"/>
      <c r="V592" s="72"/>
      <c r="W592" s="72"/>
      <c r="X592" s="72" t="str">
        <f t="shared" si="3"/>
        <v/>
      </c>
      <c r="Y592" s="72"/>
    </row>
    <row r="593">
      <c r="B593" s="1"/>
      <c r="C593" s="1"/>
      <c r="D593" s="1" t="str">
        <f t="shared" si="1"/>
        <v/>
      </c>
      <c r="F593" s="1"/>
      <c r="G593" s="1"/>
      <c r="H593" s="1" t="str">
        <f t="shared" si="2"/>
        <v/>
      </c>
      <c r="J593" s="274"/>
      <c r="K593" s="72"/>
      <c r="L593" s="72"/>
      <c r="M593" s="72"/>
      <c r="N593" s="72"/>
      <c r="O593" s="72">
        <f t="shared" si="7"/>
        <v>0</v>
      </c>
      <c r="P593" s="72"/>
      <c r="Q593" s="72"/>
      <c r="R593" s="72">
        <f t="shared" si="8"/>
        <v>0</v>
      </c>
      <c r="S593" s="72"/>
      <c r="T593" s="72"/>
      <c r="V593" s="72"/>
      <c r="W593" s="72"/>
      <c r="X593" s="72" t="str">
        <f t="shared" si="3"/>
        <v/>
      </c>
      <c r="Y593" s="72"/>
    </row>
    <row r="594">
      <c r="B594" s="1"/>
      <c r="C594" s="1"/>
      <c r="D594" s="1" t="str">
        <f t="shared" si="1"/>
        <v/>
      </c>
      <c r="F594" s="1"/>
      <c r="G594" s="1"/>
      <c r="H594" s="1" t="str">
        <f t="shared" si="2"/>
        <v/>
      </c>
      <c r="J594" s="274"/>
      <c r="K594" s="72"/>
      <c r="L594" s="72"/>
      <c r="M594" s="72"/>
      <c r="N594" s="72"/>
      <c r="O594" s="72">
        <f t="shared" si="7"/>
        <v>0</v>
      </c>
      <c r="P594" s="72"/>
      <c r="Q594" s="72"/>
      <c r="R594" s="72">
        <f t="shared" si="8"/>
        <v>0</v>
      </c>
      <c r="S594" s="72"/>
      <c r="T594" s="72"/>
      <c r="V594" s="72"/>
      <c r="W594" s="72"/>
      <c r="X594" s="72" t="str">
        <f t="shared" si="3"/>
        <v/>
      </c>
      <c r="Y594" s="72"/>
    </row>
    <row r="595">
      <c r="B595" s="1"/>
      <c r="C595" s="1"/>
      <c r="D595" s="1" t="str">
        <f t="shared" si="1"/>
        <v/>
      </c>
      <c r="F595" s="1"/>
      <c r="G595" s="1"/>
      <c r="H595" s="1" t="str">
        <f t="shared" si="2"/>
        <v/>
      </c>
      <c r="J595" s="274"/>
      <c r="K595" s="72"/>
      <c r="L595" s="72"/>
      <c r="M595" s="72"/>
      <c r="N595" s="72"/>
      <c r="O595" s="72">
        <f t="shared" si="7"/>
        <v>0</v>
      </c>
      <c r="P595" s="72"/>
      <c r="Q595" s="72"/>
      <c r="R595" s="72">
        <f t="shared" si="8"/>
        <v>0</v>
      </c>
      <c r="S595" s="72"/>
      <c r="T595" s="72"/>
      <c r="V595" s="72"/>
      <c r="W595" s="72"/>
      <c r="X595" s="72" t="str">
        <f t="shared" si="3"/>
        <v/>
      </c>
      <c r="Y595" s="72"/>
    </row>
    <row r="596">
      <c r="B596" s="1"/>
      <c r="C596" s="1"/>
      <c r="D596" s="1" t="str">
        <f t="shared" si="1"/>
        <v/>
      </c>
      <c r="F596" s="1"/>
      <c r="G596" s="1"/>
      <c r="H596" s="1" t="str">
        <f t="shared" si="2"/>
        <v/>
      </c>
      <c r="J596" s="274"/>
      <c r="K596" s="72"/>
      <c r="L596" s="72"/>
      <c r="M596" s="72"/>
      <c r="N596" s="72"/>
      <c r="O596" s="72">
        <f t="shared" si="7"/>
        <v>0</v>
      </c>
      <c r="P596" s="72"/>
      <c r="Q596" s="72"/>
      <c r="R596" s="72">
        <f t="shared" si="8"/>
        <v>0</v>
      </c>
      <c r="S596" s="72"/>
      <c r="T596" s="72"/>
      <c r="V596" s="72"/>
      <c r="W596" s="72"/>
      <c r="X596" s="72" t="str">
        <f t="shared" si="3"/>
        <v/>
      </c>
      <c r="Y596" s="72"/>
    </row>
    <row r="597">
      <c r="B597" s="1"/>
      <c r="C597" s="1"/>
      <c r="D597" s="1" t="str">
        <f t="shared" si="1"/>
        <v/>
      </c>
      <c r="F597" s="1"/>
      <c r="G597" s="1"/>
      <c r="H597" s="1" t="str">
        <f t="shared" si="2"/>
        <v/>
      </c>
      <c r="J597" s="274"/>
      <c r="K597" s="72"/>
      <c r="L597" s="72"/>
      <c r="M597" s="72"/>
      <c r="N597" s="72"/>
      <c r="O597" s="72">
        <f t="shared" si="7"/>
        <v>0</v>
      </c>
      <c r="P597" s="72"/>
      <c r="Q597" s="72"/>
      <c r="R597" s="72">
        <f t="shared" si="8"/>
        <v>0</v>
      </c>
      <c r="S597" s="72"/>
      <c r="T597" s="72"/>
      <c r="V597" s="72"/>
      <c r="W597" s="72"/>
      <c r="X597" s="72" t="str">
        <f t="shared" si="3"/>
        <v/>
      </c>
      <c r="Y597" s="72"/>
    </row>
    <row r="598">
      <c r="B598" s="1"/>
      <c r="C598" s="1"/>
      <c r="D598" s="1" t="str">
        <f t="shared" si="1"/>
        <v/>
      </c>
      <c r="F598" s="1"/>
      <c r="G598" s="1"/>
      <c r="H598" s="1" t="str">
        <f t="shared" si="2"/>
        <v/>
      </c>
      <c r="J598" s="274"/>
      <c r="K598" s="72"/>
      <c r="L598" s="72"/>
      <c r="M598" s="72"/>
      <c r="N598" s="72"/>
      <c r="O598" s="72">
        <f t="shared" si="7"/>
        <v>0</v>
      </c>
      <c r="P598" s="72"/>
      <c r="Q598" s="72"/>
      <c r="R598" s="72">
        <f t="shared" si="8"/>
        <v>0</v>
      </c>
      <c r="S598" s="72"/>
      <c r="T598" s="72"/>
      <c r="V598" s="72"/>
      <c r="W598" s="72"/>
      <c r="X598" s="72" t="str">
        <f t="shared" si="3"/>
        <v/>
      </c>
      <c r="Y598" s="72"/>
    </row>
    <row r="599">
      <c r="B599" s="1"/>
      <c r="C599" s="1"/>
      <c r="D599" s="1" t="str">
        <f t="shared" si="1"/>
        <v/>
      </c>
      <c r="F599" s="1"/>
      <c r="G599" s="1"/>
      <c r="H599" s="1" t="str">
        <f t="shared" si="2"/>
        <v/>
      </c>
      <c r="J599" s="274"/>
      <c r="K599" s="72"/>
      <c r="L599" s="72"/>
      <c r="M599" s="72"/>
      <c r="N599" s="72"/>
      <c r="O599" s="72">
        <f t="shared" si="7"/>
        <v>0</v>
      </c>
      <c r="P599" s="72"/>
      <c r="Q599" s="72"/>
      <c r="R599" s="72">
        <f t="shared" si="8"/>
        <v>0</v>
      </c>
      <c r="S599" s="72"/>
      <c r="T599" s="72"/>
      <c r="V599" s="72"/>
      <c r="W599" s="72"/>
      <c r="X599" s="72" t="str">
        <f t="shared" si="3"/>
        <v/>
      </c>
      <c r="Y599" s="72"/>
    </row>
    <row r="600">
      <c r="B600" s="1"/>
      <c r="C600" s="1"/>
      <c r="D600" s="1" t="str">
        <f t="shared" si="1"/>
        <v/>
      </c>
      <c r="F600" s="1"/>
      <c r="G600" s="1"/>
      <c r="H600" s="1" t="str">
        <f t="shared" si="2"/>
        <v/>
      </c>
      <c r="J600" s="274"/>
      <c r="K600" s="72"/>
      <c r="L600" s="72"/>
      <c r="M600" s="72"/>
      <c r="N600" s="72"/>
      <c r="O600" s="72">
        <f t="shared" si="7"/>
        <v>0</v>
      </c>
      <c r="P600" s="72"/>
      <c r="Q600" s="72"/>
      <c r="R600" s="72">
        <f t="shared" si="8"/>
        <v>0</v>
      </c>
      <c r="S600" s="72"/>
      <c r="T600" s="72"/>
      <c r="V600" s="72"/>
      <c r="W600" s="72"/>
      <c r="X600" s="72" t="str">
        <f t="shared" si="3"/>
        <v/>
      </c>
      <c r="Y600" s="72"/>
    </row>
    <row r="601">
      <c r="B601" s="1"/>
      <c r="C601" s="1"/>
      <c r="D601" s="1" t="str">
        <f t="shared" si="1"/>
        <v/>
      </c>
      <c r="F601" s="1"/>
      <c r="G601" s="1"/>
      <c r="H601" s="1" t="str">
        <f t="shared" si="2"/>
        <v/>
      </c>
      <c r="J601" s="274"/>
      <c r="K601" s="72"/>
      <c r="L601" s="72"/>
      <c r="M601" s="72"/>
      <c r="N601" s="72"/>
      <c r="O601" s="72">
        <f t="shared" si="7"/>
        <v>0</v>
      </c>
      <c r="P601" s="72"/>
      <c r="Q601" s="72"/>
      <c r="R601" s="72">
        <f t="shared" si="8"/>
        <v>0</v>
      </c>
      <c r="S601" s="72"/>
      <c r="T601" s="72"/>
      <c r="V601" s="72"/>
      <c r="W601" s="72"/>
      <c r="X601" s="72" t="str">
        <f t="shared" si="3"/>
        <v/>
      </c>
      <c r="Y601" s="72"/>
    </row>
    <row r="602">
      <c r="B602" s="1"/>
      <c r="C602" s="1"/>
      <c r="D602" s="1" t="str">
        <f t="shared" si="1"/>
        <v/>
      </c>
      <c r="F602" s="1"/>
      <c r="G602" s="1"/>
      <c r="H602" s="1" t="str">
        <f t="shared" si="2"/>
        <v/>
      </c>
      <c r="J602" s="274"/>
      <c r="K602" s="72"/>
      <c r="L602" s="72"/>
      <c r="M602" s="72"/>
      <c r="N602" s="72"/>
      <c r="O602" s="72">
        <f t="shared" si="7"/>
        <v>0</v>
      </c>
      <c r="P602" s="72"/>
      <c r="Q602" s="72"/>
      <c r="R602" s="72">
        <f t="shared" si="8"/>
        <v>0</v>
      </c>
      <c r="S602" s="72"/>
      <c r="T602" s="72"/>
      <c r="V602" s="72"/>
      <c r="W602" s="72"/>
      <c r="X602" s="72" t="str">
        <f t="shared" si="3"/>
        <v/>
      </c>
      <c r="Y602" s="72"/>
    </row>
    <row r="603">
      <c r="B603" s="1"/>
      <c r="C603" s="1"/>
      <c r="D603" s="1" t="str">
        <f t="shared" si="1"/>
        <v/>
      </c>
      <c r="F603" s="1"/>
      <c r="G603" s="1"/>
      <c r="H603" s="1" t="str">
        <f t="shared" si="2"/>
        <v/>
      </c>
      <c r="J603" s="274"/>
      <c r="K603" s="72"/>
      <c r="L603" s="72"/>
      <c r="M603" s="72"/>
      <c r="N603" s="72"/>
      <c r="O603" s="72">
        <f t="shared" si="7"/>
        <v>0</v>
      </c>
      <c r="P603" s="72"/>
      <c r="Q603" s="72"/>
      <c r="R603" s="72">
        <f t="shared" si="8"/>
        <v>0</v>
      </c>
      <c r="S603" s="72"/>
      <c r="T603" s="72"/>
      <c r="V603" s="72"/>
      <c r="W603" s="72"/>
      <c r="X603" s="72" t="str">
        <f t="shared" si="3"/>
        <v/>
      </c>
      <c r="Y603" s="72"/>
    </row>
    <row r="604">
      <c r="B604" s="1"/>
      <c r="C604" s="1"/>
      <c r="D604" s="1" t="str">
        <f t="shared" si="1"/>
        <v/>
      </c>
      <c r="F604" s="1"/>
      <c r="G604" s="1"/>
      <c r="H604" s="1" t="str">
        <f t="shared" si="2"/>
        <v/>
      </c>
      <c r="J604" s="274"/>
      <c r="K604" s="72"/>
      <c r="L604" s="72"/>
      <c r="M604" s="72"/>
      <c r="N604" s="72"/>
      <c r="O604" s="72">
        <f t="shared" si="7"/>
        <v>0</v>
      </c>
      <c r="P604" s="72"/>
      <c r="Q604" s="72"/>
      <c r="R604" s="72">
        <f t="shared" si="8"/>
        <v>0</v>
      </c>
      <c r="S604" s="72"/>
      <c r="T604" s="72"/>
      <c r="V604" s="72"/>
      <c r="W604" s="72"/>
      <c r="X604" s="72" t="str">
        <f t="shared" si="3"/>
        <v/>
      </c>
      <c r="Y604" s="72"/>
    </row>
    <row r="605">
      <c r="B605" s="1"/>
      <c r="C605" s="1"/>
      <c r="D605" s="1" t="str">
        <f t="shared" si="1"/>
        <v/>
      </c>
      <c r="F605" s="1"/>
      <c r="G605" s="1"/>
      <c r="H605" s="1" t="str">
        <f t="shared" si="2"/>
        <v/>
      </c>
      <c r="J605" s="274"/>
      <c r="K605" s="72"/>
      <c r="L605" s="72"/>
      <c r="M605" s="72"/>
      <c r="N605" s="72"/>
      <c r="O605" s="72">
        <f t="shared" si="7"/>
        <v>0</v>
      </c>
      <c r="P605" s="72"/>
      <c r="Q605" s="72"/>
      <c r="R605" s="72">
        <f t="shared" si="8"/>
        <v>0</v>
      </c>
      <c r="S605" s="72"/>
      <c r="T605" s="72"/>
      <c r="V605" s="72"/>
      <c r="W605" s="72"/>
      <c r="X605" s="72" t="str">
        <f t="shared" si="3"/>
        <v/>
      </c>
      <c r="Y605" s="72"/>
    </row>
    <row r="606">
      <c r="B606" s="1"/>
      <c r="C606" s="1"/>
      <c r="D606" s="1" t="str">
        <f t="shared" si="1"/>
        <v/>
      </c>
      <c r="F606" s="1"/>
      <c r="G606" s="1"/>
      <c r="H606" s="1" t="str">
        <f t="shared" si="2"/>
        <v/>
      </c>
      <c r="J606" s="274"/>
      <c r="K606" s="72"/>
      <c r="L606" s="72"/>
      <c r="M606" s="72"/>
      <c r="N606" s="72"/>
      <c r="O606" s="72">
        <f t="shared" si="7"/>
        <v>0</v>
      </c>
      <c r="P606" s="72"/>
      <c r="Q606" s="72"/>
      <c r="R606" s="72">
        <f t="shared" si="8"/>
        <v>0</v>
      </c>
      <c r="S606" s="72"/>
      <c r="T606" s="72"/>
      <c r="V606" s="72"/>
      <c r="W606" s="72"/>
      <c r="X606" s="72" t="str">
        <f t="shared" si="3"/>
        <v/>
      </c>
      <c r="Y606" s="72"/>
    </row>
    <row r="607">
      <c r="B607" s="1"/>
      <c r="C607" s="1"/>
      <c r="D607" s="1" t="str">
        <f t="shared" si="1"/>
        <v/>
      </c>
      <c r="F607" s="1"/>
      <c r="G607" s="1"/>
      <c r="H607" s="1" t="str">
        <f t="shared" si="2"/>
        <v/>
      </c>
      <c r="J607" s="274"/>
      <c r="K607" s="72"/>
      <c r="L607" s="72"/>
      <c r="M607" s="72"/>
      <c r="N607" s="72"/>
      <c r="O607" s="72">
        <f t="shared" si="7"/>
        <v>0</v>
      </c>
      <c r="P607" s="72"/>
      <c r="Q607" s="72"/>
      <c r="R607" s="72">
        <f t="shared" si="8"/>
        <v>0</v>
      </c>
      <c r="S607" s="72"/>
      <c r="T607" s="72"/>
      <c r="V607" s="72"/>
      <c r="W607" s="72"/>
      <c r="X607" s="72" t="str">
        <f t="shared" si="3"/>
        <v/>
      </c>
      <c r="Y607" s="72"/>
    </row>
    <row r="608">
      <c r="B608" s="1"/>
      <c r="C608" s="1"/>
      <c r="D608" s="1" t="str">
        <f t="shared" si="1"/>
        <v/>
      </c>
      <c r="F608" s="1"/>
      <c r="G608" s="1"/>
      <c r="H608" s="1" t="str">
        <f t="shared" si="2"/>
        <v/>
      </c>
      <c r="J608" s="274"/>
      <c r="K608" s="72"/>
      <c r="L608" s="72"/>
      <c r="M608" s="72"/>
      <c r="N608" s="72"/>
      <c r="O608" s="72">
        <f t="shared" si="7"/>
        <v>0</v>
      </c>
      <c r="P608" s="72"/>
      <c r="Q608" s="72"/>
      <c r="R608" s="72">
        <f t="shared" si="8"/>
        <v>0</v>
      </c>
      <c r="S608" s="72"/>
      <c r="T608" s="72"/>
      <c r="V608" s="72"/>
      <c r="W608" s="72"/>
      <c r="X608" s="72" t="str">
        <f t="shared" si="3"/>
        <v/>
      </c>
      <c r="Y608" s="72"/>
    </row>
    <row r="609">
      <c r="B609" s="1"/>
      <c r="C609" s="1"/>
      <c r="D609" s="1" t="str">
        <f t="shared" si="1"/>
        <v/>
      </c>
      <c r="F609" s="1"/>
      <c r="G609" s="1"/>
      <c r="H609" s="1" t="str">
        <f t="shared" si="2"/>
        <v/>
      </c>
      <c r="J609" s="274"/>
      <c r="K609" s="72"/>
      <c r="L609" s="72"/>
      <c r="M609" s="72"/>
      <c r="N609" s="72"/>
      <c r="O609" s="72">
        <f t="shared" si="7"/>
        <v>0</v>
      </c>
      <c r="P609" s="72"/>
      <c r="Q609" s="72"/>
      <c r="R609" s="72">
        <f t="shared" si="8"/>
        <v>0</v>
      </c>
      <c r="S609" s="72"/>
      <c r="T609" s="72"/>
      <c r="V609" s="72"/>
      <c r="W609" s="72"/>
      <c r="X609" s="72" t="str">
        <f t="shared" si="3"/>
        <v/>
      </c>
      <c r="Y609" s="72"/>
    </row>
    <row r="610">
      <c r="B610" s="1"/>
      <c r="C610" s="1"/>
      <c r="D610" s="1" t="str">
        <f t="shared" si="1"/>
        <v/>
      </c>
      <c r="F610" s="1"/>
      <c r="G610" s="1"/>
      <c r="H610" s="1" t="str">
        <f t="shared" si="2"/>
        <v/>
      </c>
      <c r="J610" s="274"/>
      <c r="K610" s="72"/>
      <c r="L610" s="72"/>
      <c r="M610" s="72"/>
      <c r="N610" s="72"/>
      <c r="O610" s="72">
        <f t="shared" si="7"/>
        <v>0</v>
      </c>
      <c r="P610" s="72"/>
      <c r="Q610" s="72"/>
      <c r="R610" s="72">
        <f t="shared" si="8"/>
        <v>0</v>
      </c>
      <c r="S610" s="72"/>
      <c r="T610" s="72"/>
      <c r="V610" s="72"/>
      <c r="W610" s="72"/>
      <c r="X610" s="72" t="str">
        <f t="shared" si="3"/>
        <v/>
      </c>
      <c r="Y610" s="72"/>
    </row>
    <row r="611">
      <c r="B611" s="1"/>
      <c r="C611" s="1"/>
      <c r="D611" s="1" t="str">
        <f t="shared" si="1"/>
        <v/>
      </c>
      <c r="F611" s="1"/>
      <c r="G611" s="1"/>
      <c r="H611" s="1" t="str">
        <f t="shared" si="2"/>
        <v/>
      </c>
      <c r="J611" s="274"/>
      <c r="K611" s="72"/>
      <c r="L611" s="72"/>
      <c r="M611" s="72"/>
      <c r="N611" s="72"/>
      <c r="O611" s="72">
        <f t="shared" si="7"/>
        <v>0</v>
      </c>
      <c r="P611" s="72"/>
      <c r="Q611" s="72"/>
      <c r="R611" s="72">
        <f t="shared" si="8"/>
        <v>0</v>
      </c>
      <c r="S611" s="72"/>
      <c r="T611" s="72"/>
      <c r="V611" s="72"/>
      <c r="W611" s="72"/>
      <c r="X611" s="72" t="str">
        <f t="shared" si="3"/>
        <v/>
      </c>
      <c r="Y611" s="72"/>
    </row>
    <row r="612">
      <c r="B612" s="1"/>
      <c r="C612" s="1"/>
      <c r="D612" s="1" t="str">
        <f t="shared" si="1"/>
        <v/>
      </c>
      <c r="F612" s="1"/>
      <c r="G612" s="1"/>
      <c r="H612" s="1" t="str">
        <f t="shared" si="2"/>
        <v/>
      </c>
      <c r="J612" s="274"/>
      <c r="V612" s="72"/>
      <c r="W612" s="72"/>
      <c r="X612" s="72" t="str">
        <f t="shared" si="3"/>
        <v/>
      </c>
      <c r="Y612" s="72"/>
    </row>
    <row r="613">
      <c r="B613" s="1"/>
      <c r="C613" s="1"/>
      <c r="D613" s="1" t="str">
        <f t="shared" si="1"/>
        <v/>
      </c>
      <c r="F613" s="1"/>
      <c r="G613" s="1"/>
      <c r="H613" s="1" t="str">
        <f t="shared" si="2"/>
        <v/>
      </c>
      <c r="J613" s="274"/>
      <c r="K613" s="72"/>
      <c r="L613" s="72"/>
      <c r="M613" s="72"/>
      <c r="N613" s="72"/>
      <c r="O613" s="72"/>
      <c r="P613" s="72"/>
      <c r="Q613" s="72"/>
      <c r="R613" s="72"/>
      <c r="S613" s="72"/>
      <c r="T613" s="72"/>
      <c r="V613" s="72"/>
      <c r="W613" s="72"/>
      <c r="X613" s="72" t="str">
        <f t="shared" si="3"/>
        <v/>
      </c>
      <c r="Y613" s="72"/>
    </row>
    <row r="614">
      <c r="B614" s="1"/>
      <c r="C614" s="1"/>
      <c r="D614" s="1" t="str">
        <f t="shared" si="1"/>
        <v/>
      </c>
      <c r="F614" s="1"/>
      <c r="G614" s="1"/>
      <c r="H614" s="1" t="str">
        <f t="shared" si="2"/>
        <v/>
      </c>
      <c r="J614" s="274"/>
      <c r="K614" s="72"/>
      <c r="L614" s="72"/>
      <c r="M614" s="72"/>
      <c r="N614" s="72"/>
      <c r="O614" s="72"/>
      <c r="P614" s="72"/>
      <c r="Q614" s="72"/>
      <c r="R614" s="72"/>
      <c r="S614" s="72"/>
      <c r="T614" s="72"/>
      <c r="V614" s="72"/>
      <c r="W614" s="72"/>
      <c r="X614" s="72" t="str">
        <f t="shared" si="3"/>
        <v/>
      </c>
      <c r="Y614" s="72"/>
    </row>
    <row r="615">
      <c r="B615" s="1"/>
      <c r="C615" s="1"/>
      <c r="D615" s="1" t="str">
        <f t="shared" si="1"/>
        <v/>
      </c>
      <c r="F615" s="1"/>
      <c r="G615" s="1"/>
      <c r="H615" s="1" t="str">
        <f t="shared" si="2"/>
        <v/>
      </c>
      <c r="J615" s="274"/>
      <c r="K615" s="72"/>
      <c r="L615" s="72"/>
      <c r="M615" s="72"/>
      <c r="N615" s="72"/>
      <c r="O615" s="72"/>
      <c r="P615" s="72"/>
      <c r="Q615" s="72"/>
      <c r="R615" s="72"/>
      <c r="S615" s="72"/>
      <c r="T615" s="72"/>
      <c r="V615" s="72"/>
      <c r="W615" s="72"/>
      <c r="X615" s="72" t="str">
        <f t="shared" si="3"/>
        <v/>
      </c>
      <c r="Y615" s="72"/>
    </row>
    <row r="616">
      <c r="B616" s="1"/>
      <c r="C616" s="1"/>
      <c r="D616" s="1" t="str">
        <f t="shared" si="1"/>
        <v/>
      </c>
      <c r="F616" s="1"/>
      <c r="G616" s="1"/>
      <c r="H616" s="1" t="str">
        <f t="shared" si="2"/>
        <v/>
      </c>
      <c r="J616" s="274"/>
      <c r="K616" s="72"/>
      <c r="L616" s="72"/>
      <c r="M616" s="72"/>
      <c r="N616" s="72"/>
      <c r="O616" s="72"/>
      <c r="P616" s="72"/>
      <c r="Q616" s="72"/>
      <c r="R616" s="72"/>
      <c r="S616" s="72"/>
      <c r="T616" s="72"/>
      <c r="V616" s="72"/>
      <c r="W616" s="72"/>
      <c r="X616" s="72" t="str">
        <f t="shared" si="3"/>
        <v/>
      </c>
      <c r="Y616" s="72"/>
    </row>
    <row r="617">
      <c r="B617" s="1"/>
      <c r="C617" s="1"/>
      <c r="D617" s="1" t="str">
        <f t="shared" si="1"/>
        <v/>
      </c>
      <c r="F617" s="1"/>
      <c r="G617" s="1"/>
      <c r="H617" s="1" t="str">
        <f t="shared" si="2"/>
        <v/>
      </c>
      <c r="J617" s="274"/>
      <c r="K617" s="72"/>
      <c r="L617" s="72"/>
      <c r="M617" s="72"/>
      <c r="N617" s="72"/>
      <c r="O617" s="72"/>
      <c r="P617" s="72"/>
      <c r="Q617" s="72"/>
      <c r="R617" s="72"/>
      <c r="S617" s="72"/>
      <c r="T617" s="72"/>
      <c r="V617" s="72"/>
      <c r="W617" s="72"/>
      <c r="X617" s="72" t="str">
        <f t="shared" si="3"/>
        <v/>
      </c>
      <c r="Y617" s="72"/>
    </row>
    <row r="618">
      <c r="B618" s="1"/>
      <c r="C618" s="1"/>
      <c r="D618" s="1" t="str">
        <f t="shared" si="1"/>
        <v/>
      </c>
      <c r="F618" s="1"/>
      <c r="G618" s="1"/>
      <c r="H618" s="1" t="str">
        <f t="shared" si="2"/>
        <v/>
      </c>
      <c r="J618" s="274"/>
      <c r="K618" s="72"/>
      <c r="L618" s="72"/>
      <c r="M618" s="72"/>
      <c r="N618" s="72"/>
      <c r="O618" s="72"/>
      <c r="P618" s="72"/>
      <c r="Q618" s="72"/>
      <c r="R618" s="72"/>
      <c r="S618" s="72"/>
      <c r="T618" s="72"/>
      <c r="V618" s="72"/>
      <c r="W618" s="72"/>
      <c r="X618" s="72" t="str">
        <f t="shared" si="3"/>
        <v/>
      </c>
      <c r="Y618" s="72"/>
    </row>
    <row r="619">
      <c r="B619" s="1"/>
      <c r="C619" s="1"/>
      <c r="D619" s="1" t="str">
        <f t="shared" si="1"/>
        <v/>
      </c>
      <c r="F619" s="1"/>
      <c r="G619" s="1"/>
      <c r="H619" s="1" t="str">
        <f t="shared" si="2"/>
        <v/>
      </c>
      <c r="J619" s="274"/>
      <c r="K619" s="72"/>
      <c r="L619" s="72"/>
      <c r="M619" s="72"/>
      <c r="N619" s="72"/>
      <c r="O619" s="72"/>
      <c r="P619" s="72"/>
      <c r="Q619" s="72"/>
      <c r="R619" s="72"/>
      <c r="S619" s="72"/>
      <c r="T619" s="72"/>
      <c r="V619" s="72"/>
      <c r="W619" s="72"/>
      <c r="X619" s="72" t="str">
        <f t="shared" si="3"/>
        <v/>
      </c>
      <c r="Y619" s="72"/>
    </row>
    <row r="620">
      <c r="B620" s="1"/>
      <c r="C620" s="1"/>
      <c r="D620" s="1" t="str">
        <f t="shared" si="1"/>
        <v/>
      </c>
      <c r="F620" s="1"/>
      <c r="G620" s="1"/>
      <c r="H620" s="1" t="str">
        <f t="shared" si="2"/>
        <v/>
      </c>
      <c r="J620" s="274"/>
      <c r="K620" s="72"/>
      <c r="L620" s="72"/>
      <c r="M620" s="72"/>
      <c r="N620" s="72"/>
      <c r="O620" s="72"/>
      <c r="P620" s="72"/>
      <c r="Q620" s="72"/>
      <c r="R620" s="72"/>
      <c r="S620" s="72"/>
      <c r="T620" s="72"/>
      <c r="V620" s="72"/>
      <c r="W620" s="72"/>
      <c r="X620" s="72" t="str">
        <f t="shared" si="3"/>
        <v/>
      </c>
      <c r="Y620" s="72"/>
    </row>
    <row r="621">
      <c r="B621" s="1"/>
      <c r="C621" s="1"/>
      <c r="D621" s="1" t="str">
        <f t="shared" si="1"/>
        <v/>
      </c>
      <c r="F621" s="1"/>
      <c r="G621" s="1"/>
      <c r="H621" s="1" t="str">
        <f t="shared" si="2"/>
        <v/>
      </c>
      <c r="J621" s="274"/>
      <c r="K621" s="72"/>
      <c r="L621" s="72"/>
      <c r="M621" s="72"/>
      <c r="N621" s="72"/>
      <c r="O621" s="72"/>
      <c r="P621" s="72"/>
      <c r="Q621" s="72"/>
      <c r="R621" s="72"/>
      <c r="S621" s="72"/>
      <c r="T621" s="72"/>
      <c r="V621" s="72"/>
      <c r="W621" s="72"/>
      <c r="X621" s="72" t="str">
        <f t="shared" si="3"/>
        <v/>
      </c>
      <c r="Y621" s="72"/>
    </row>
    <row r="622">
      <c r="B622" s="1"/>
      <c r="C622" s="1"/>
      <c r="D622" s="1" t="str">
        <f t="shared" si="1"/>
        <v/>
      </c>
      <c r="F622" s="1"/>
      <c r="G622" s="1"/>
      <c r="H622" s="1" t="str">
        <f t="shared" si="2"/>
        <v/>
      </c>
      <c r="J622" s="274"/>
      <c r="K622" s="72"/>
      <c r="L622" s="72"/>
      <c r="M622" s="72"/>
      <c r="N622" s="72"/>
      <c r="O622" s="72"/>
      <c r="P622" s="72"/>
      <c r="Q622" s="72"/>
      <c r="R622" s="72"/>
      <c r="S622" s="72"/>
      <c r="T622" s="72"/>
      <c r="V622" s="72"/>
      <c r="W622" s="72"/>
      <c r="X622" s="72" t="str">
        <f t="shared" si="3"/>
        <v/>
      </c>
      <c r="Y622" s="72"/>
    </row>
    <row r="623">
      <c r="B623" s="1"/>
      <c r="C623" s="1"/>
      <c r="D623" s="1" t="str">
        <f t="shared" si="1"/>
        <v/>
      </c>
      <c r="F623" s="1"/>
      <c r="G623" s="1"/>
      <c r="H623" s="1" t="str">
        <f t="shared" si="2"/>
        <v/>
      </c>
      <c r="J623" s="274"/>
      <c r="K623" s="72"/>
      <c r="L623" s="72"/>
      <c r="M623" s="72"/>
      <c r="N623" s="72"/>
      <c r="O623" s="72"/>
      <c r="P623" s="72"/>
      <c r="Q623" s="72"/>
      <c r="R623" s="72"/>
      <c r="S623" s="72"/>
      <c r="T623" s="72"/>
      <c r="V623" s="72"/>
      <c r="W623" s="72"/>
      <c r="X623" s="72" t="str">
        <f t="shared" si="3"/>
        <v/>
      </c>
      <c r="Y623" s="72"/>
    </row>
    <row r="624">
      <c r="B624" s="1"/>
      <c r="C624" s="1"/>
      <c r="D624" s="1" t="str">
        <f t="shared" si="1"/>
        <v/>
      </c>
      <c r="F624" s="1"/>
      <c r="G624" s="1"/>
      <c r="H624" s="1" t="str">
        <f t="shared" si="2"/>
        <v/>
      </c>
      <c r="J624" s="274"/>
      <c r="K624" s="72"/>
      <c r="L624" s="72"/>
      <c r="M624" s="72"/>
      <c r="N624" s="72"/>
      <c r="O624" s="72"/>
      <c r="P624" s="72"/>
      <c r="Q624" s="72"/>
      <c r="R624" s="72"/>
      <c r="S624" s="72"/>
      <c r="T624" s="72"/>
      <c r="V624" s="72"/>
      <c r="W624" s="72"/>
      <c r="X624" s="72" t="str">
        <f t="shared" si="3"/>
        <v/>
      </c>
      <c r="Y624" s="72"/>
    </row>
    <row r="625">
      <c r="B625" s="1"/>
      <c r="C625" s="1"/>
      <c r="D625" s="1" t="str">
        <f t="shared" si="1"/>
        <v/>
      </c>
      <c r="F625" s="1"/>
      <c r="G625" s="1"/>
      <c r="H625" s="1" t="str">
        <f t="shared" si="2"/>
        <v/>
      </c>
      <c r="J625" s="274"/>
      <c r="K625" s="72"/>
      <c r="L625" s="72"/>
      <c r="M625" s="72"/>
      <c r="N625" s="72"/>
      <c r="O625" s="72"/>
      <c r="P625" s="72"/>
      <c r="Q625" s="72"/>
      <c r="R625" s="72"/>
      <c r="S625" s="72"/>
      <c r="T625" s="72"/>
      <c r="V625" s="72"/>
      <c r="W625" s="72"/>
      <c r="X625" s="72" t="str">
        <f t="shared" si="3"/>
        <v/>
      </c>
      <c r="Y625" s="72"/>
    </row>
    <row r="626">
      <c r="B626" s="1"/>
      <c r="C626" s="1"/>
      <c r="D626" s="1" t="str">
        <f t="shared" si="1"/>
        <v/>
      </c>
      <c r="F626" s="1"/>
      <c r="G626" s="1"/>
      <c r="H626" s="1" t="str">
        <f t="shared" si="2"/>
        <v/>
      </c>
      <c r="J626" s="274"/>
      <c r="K626" s="72"/>
      <c r="L626" s="72"/>
      <c r="M626" s="72"/>
      <c r="N626" s="72"/>
      <c r="O626" s="72"/>
      <c r="P626" s="72"/>
      <c r="Q626" s="72"/>
      <c r="R626" s="72"/>
      <c r="S626" s="72"/>
      <c r="T626" s="72"/>
      <c r="V626" s="72"/>
      <c r="W626" s="72"/>
      <c r="X626" s="72" t="str">
        <f t="shared" si="3"/>
        <v/>
      </c>
      <c r="Y626" s="72"/>
    </row>
    <row r="627">
      <c r="B627" s="1"/>
      <c r="C627" s="1"/>
      <c r="D627" s="1" t="str">
        <f t="shared" si="1"/>
        <v/>
      </c>
      <c r="F627" s="1"/>
      <c r="G627" s="1"/>
      <c r="H627" s="1" t="str">
        <f t="shared" si="2"/>
        <v/>
      </c>
      <c r="J627" s="274"/>
      <c r="K627" s="72"/>
      <c r="L627" s="72"/>
      <c r="M627" s="72"/>
      <c r="N627" s="72"/>
      <c r="O627" s="72"/>
      <c r="P627" s="72"/>
      <c r="Q627" s="72"/>
      <c r="R627" s="72"/>
      <c r="S627" s="72"/>
      <c r="T627" s="72"/>
      <c r="V627" s="72"/>
      <c r="W627" s="72"/>
      <c r="X627" s="72" t="str">
        <f t="shared" si="3"/>
        <v/>
      </c>
      <c r="Y627" s="72"/>
    </row>
    <row r="628">
      <c r="B628" s="1"/>
      <c r="C628" s="1"/>
      <c r="D628" s="1" t="str">
        <f t="shared" si="1"/>
        <v/>
      </c>
      <c r="F628" s="1"/>
      <c r="G628" s="1"/>
      <c r="H628" s="1" t="str">
        <f t="shared" si="2"/>
        <v/>
      </c>
      <c r="J628" s="274"/>
      <c r="K628" s="72"/>
      <c r="L628" s="72"/>
      <c r="M628" s="72"/>
      <c r="N628" s="72"/>
      <c r="O628" s="72"/>
      <c r="P628" s="72"/>
      <c r="Q628" s="72"/>
      <c r="R628" s="72"/>
      <c r="S628" s="72"/>
      <c r="T628" s="72"/>
      <c r="V628" s="72"/>
      <c r="W628" s="72"/>
      <c r="X628" s="72" t="str">
        <f t="shared" si="3"/>
        <v/>
      </c>
      <c r="Y628" s="72"/>
    </row>
    <row r="629">
      <c r="B629" s="1"/>
      <c r="C629" s="1"/>
      <c r="D629" s="1" t="str">
        <f t="shared" si="1"/>
        <v/>
      </c>
      <c r="F629" s="1"/>
      <c r="G629" s="1"/>
      <c r="H629" s="1" t="str">
        <f t="shared" si="2"/>
        <v/>
      </c>
      <c r="J629" s="274"/>
      <c r="K629" s="72"/>
      <c r="L629" s="72"/>
      <c r="M629" s="72"/>
      <c r="N629" s="72"/>
      <c r="O629" s="72"/>
      <c r="P629" s="72"/>
      <c r="Q629" s="72"/>
      <c r="R629" s="72"/>
      <c r="S629" s="72"/>
      <c r="T629" s="72"/>
      <c r="V629" s="72"/>
      <c r="W629" s="72"/>
      <c r="X629" s="72" t="str">
        <f t="shared" si="3"/>
        <v/>
      </c>
      <c r="Y629" s="72"/>
    </row>
    <row r="630">
      <c r="B630" s="1"/>
      <c r="C630" s="1"/>
      <c r="D630" s="1" t="str">
        <f t="shared" si="1"/>
        <v/>
      </c>
      <c r="F630" s="1"/>
      <c r="G630" s="1"/>
      <c r="H630" s="1" t="str">
        <f t="shared" si="2"/>
        <v/>
      </c>
      <c r="J630" s="274"/>
      <c r="K630" s="72"/>
      <c r="L630" s="72"/>
      <c r="M630" s="72"/>
      <c r="N630" s="72"/>
      <c r="O630" s="72"/>
      <c r="P630" s="72"/>
      <c r="Q630" s="72"/>
      <c r="R630" s="72"/>
      <c r="S630" s="72"/>
      <c r="T630" s="72"/>
      <c r="V630" s="72"/>
      <c r="W630" s="72"/>
      <c r="X630" s="72" t="str">
        <f t="shared" si="3"/>
        <v/>
      </c>
      <c r="Y630" s="72"/>
    </row>
    <row r="631">
      <c r="B631" s="1"/>
      <c r="C631" s="1"/>
      <c r="D631" s="1" t="str">
        <f t="shared" si="1"/>
        <v/>
      </c>
      <c r="F631" s="1"/>
      <c r="G631" s="1"/>
      <c r="H631" s="1" t="str">
        <f t="shared" si="2"/>
        <v/>
      </c>
      <c r="J631" s="274"/>
      <c r="K631" s="72"/>
      <c r="L631" s="72"/>
      <c r="M631" s="72"/>
      <c r="N631" s="72"/>
      <c r="O631" s="72"/>
      <c r="P631" s="72"/>
      <c r="Q631" s="72"/>
      <c r="R631" s="72"/>
      <c r="S631" s="72"/>
      <c r="T631" s="72"/>
      <c r="V631" s="72"/>
      <c r="W631" s="72"/>
      <c r="X631" s="72" t="str">
        <f t="shared" si="3"/>
        <v/>
      </c>
      <c r="Y631" s="72"/>
    </row>
    <row r="632">
      <c r="B632" s="1"/>
      <c r="C632" s="1"/>
      <c r="D632" s="1" t="str">
        <f t="shared" si="1"/>
        <v/>
      </c>
      <c r="F632" s="1"/>
      <c r="G632" s="1"/>
      <c r="H632" s="1" t="str">
        <f t="shared" si="2"/>
        <v/>
      </c>
      <c r="J632" s="274"/>
      <c r="K632" s="72"/>
      <c r="L632" s="72"/>
      <c r="M632" s="72"/>
      <c r="N632" s="72"/>
      <c r="O632" s="72"/>
      <c r="P632" s="72"/>
      <c r="Q632" s="72"/>
      <c r="R632" s="72"/>
      <c r="S632" s="72"/>
      <c r="T632" s="72"/>
      <c r="V632" s="72"/>
      <c r="W632" s="72"/>
      <c r="X632" s="72" t="str">
        <f t="shared" si="3"/>
        <v/>
      </c>
      <c r="Y632" s="72"/>
    </row>
    <row r="633">
      <c r="B633" s="1"/>
      <c r="C633" s="1"/>
      <c r="D633" s="1" t="str">
        <f t="shared" si="1"/>
        <v/>
      </c>
      <c r="F633" s="1"/>
      <c r="G633" s="1"/>
      <c r="H633" s="1" t="str">
        <f t="shared" si="2"/>
        <v/>
      </c>
      <c r="J633" s="274"/>
      <c r="K633" s="72"/>
      <c r="L633" s="72"/>
      <c r="M633" s="72"/>
      <c r="N633" s="72"/>
      <c r="O633" s="72"/>
      <c r="P633" s="72"/>
      <c r="Q633" s="72"/>
      <c r="R633" s="72"/>
      <c r="S633" s="72"/>
      <c r="T633" s="72"/>
      <c r="V633" s="72"/>
      <c r="W633" s="72"/>
      <c r="X633" s="72" t="str">
        <f t="shared" si="3"/>
        <v/>
      </c>
      <c r="Y633" s="72"/>
    </row>
    <row r="634">
      <c r="B634" s="1"/>
      <c r="C634" s="1"/>
      <c r="D634" s="1" t="str">
        <f t="shared" si="1"/>
        <v/>
      </c>
      <c r="F634" s="1"/>
      <c r="G634" s="1"/>
      <c r="H634" s="1" t="str">
        <f t="shared" si="2"/>
        <v/>
      </c>
      <c r="J634" s="274"/>
      <c r="K634" s="72"/>
      <c r="L634" s="72"/>
      <c r="M634" s="72"/>
      <c r="N634" s="72"/>
      <c r="O634" s="72"/>
      <c r="P634" s="72"/>
      <c r="Q634" s="72"/>
      <c r="R634" s="72"/>
      <c r="S634" s="72"/>
      <c r="T634" s="72"/>
      <c r="V634" s="72"/>
      <c r="W634" s="72"/>
      <c r="X634" s="72" t="str">
        <f t="shared" si="3"/>
        <v/>
      </c>
      <c r="Y634" s="72"/>
    </row>
    <row r="635">
      <c r="B635" s="1"/>
      <c r="C635" s="1"/>
      <c r="D635" s="1" t="str">
        <f t="shared" si="1"/>
        <v/>
      </c>
      <c r="F635" s="1"/>
      <c r="G635" s="1"/>
      <c r="H635" s="1" t="str">
        <f t="shared" si="2"/>
        <v/>
      </c>
      <c r="J635" s="274"/>
      <c r="K635" s="72"/>
      <c r="L635" s="72"/>
      <c r="M635" s="72"/>
      <c r="N635" s="72"/>
      <c r="O635" s="72"/>
      <c r="P635" s="72"/>
      <c r="Q635" s="72"/>
      <c r="R635" s="72"/>
      <c r="S635" s="72"/>
      <c r="T635" s="72"/>
      <c r="V635" s="72"/>
      <c r="W635" s="72"/>
      <c r="X635" s="72" t="str">
        <f t="shared" si="3"/>
        <v/>
      </c>
      <c r="Y635" s="72"/>
    </row>
    <row r="636">
      <c r="B636" s="1"/>
      <c r="C636" s="1"/>
      <c r="D636" s="1" t="str">
        <f t="shared" si="1"/>
        <v/>
      </c>
      <c r="F636" s="1"/>
      <c r="G636" s="1"/>
      <c r="H636" s="1" t="str">
        <f t="shared" si="2"/>
        <v/>
      </c>
      <c r="J636" s="274"/>
      <c r="K636" s="72"/>
      <c r="L636" s="72"/>
      <c r="M636" s="72"/>
      <c r="N636" s="72"/>
      <c r="O636" s="72"/>
      <c r="P636" s="72"/>
      <c r="Q636" s="72"/>
      <c r="R636" s="72"/>
      <c r="S636" s="72"/>
      <c r="T636" s="72"/>
      <c r="V636" s="72"/>
      <c r="W636" s="72"/>
      <c r="X636" s="72" t="str">
        <f t="shared" si="3"/>
        <v/>
      </c>
      <c r="Y636" s="72"/>
    </row>
    <row r="637">
      <c r="B637" s="1"/>
      <c r="C637" s="1"/>
      <c r="D637" s="1" t="str">
        <f t="shared" si="1"/>
        <v/>
      </c>
      <c r="F637" s="1"/>
      <c r="G637" s="1"/>
      <c r="H637" s="1" t="str">
        <f t="shared" si="2"/>
        <v/>
      </c>
      <c r="J637" s="274"/>
      <c r="K637" s="72"/>
      <c r="L637" s="72"/>
      <c r="M637" s="72"/>
      <c r="N637" s="72"/>
      <c r="O637" s="72"/>
      <c r="P637" s="72"/>
      <c r="Q637" s="72"/>
      <c r="R637" s="72"/>
      <c r="S637" s="72"/>
      <c r="T637" s="72"/>
      <c r="V637" s="72"/>
      <c r="W637" s="72"/>
      <c r="X637" s="72" t="str">
        <f t="shared" si="3"/>
        <v/>
      </c>
      <c r="Y637" s="72"/>
    </row>
    <row r="638">
      <c r="B638" s="1"/>
      <c r="C638" s="1"/>
      <c r="D638" s="1" t="str">
        <f t="shared" si="1"/>
        <v/>
      </c>
      <c r="F638" s="1"/>
      <c r="G638" s="1"/>
      <c r="H638" s="1" t="str">
        <f t="shared" si="2"/>
        <v/>
      </c>
      <c r="J638" s="274"/>
      <c r="K638" s="72"/>
      <c r="L638" s="72"/>
      <c r="M638" s="72"/>
      <c r="N638" s="72"/>
      <c r="O638" s="72"/>
      <c r="P638" s="72"/>
      <c r="Q638" s="72"/>
      <c r="R638" s="72"/>
      <c r="S638" s="72"/>
      <c r="T638" s="72"/>
      <c r="V638" s="72"/>
      <c r="W638" s="72"/>
      <c r="X638" s="72" t="str">
        <f t="shared" si="3"/>
        <v/>
      </c>
      <c r="Y638" s="72"/>
    </row>
    <row r="639">
      <c r="B639" s="1"/>
      <c r="C639" s="1"/>
      <c r="D639" s="1" t="str">
        <f t="shared" si="1"/>
        <v/>
      </c>
      <c r="F639" s="1"/>
      <c r="G639" s="1"/>
      <c r="H639" s="1" t="str">
        <f t="shared" si="2"/>
        <v/>
      </c>
      <c r="J639" s="274"/>
      <c r="K639" s="72"/>
      <c r="L639" s="72"/>
      <c r="M639" s="72"/>
      <c r="N639" s="72"/>
      <c r="O639" s="72"/>
      <c r="P639" s="72"/>
      <c r="Q639" s="72"/>
      <c r="R639" s="72"/>
      <c r="S639" s="72"/>
      <c r="T639" s="72"/>
      <c r="V639" s="72"/>
      <c r="W639" s="72"/>
      <c r="X639" s="72" t="str">
        <f t="shared" si="3"/>
        <v/>
      </c>
      <c r="Y639" s="72"/>
    </row>
    <row r="640">
      <c r="B640" s="1"/>
      <c r="C640" s="1"/>
      <c r="D640" s="1" t="str">
        <f t="shared" si="1"/>
        <v/>
      </c>
      <c r="F640" s="1"/>
      <c r="G640" s="1"/>
      <c r="H640" s="1" t="str">
        <f t="shared" si="2"/>
        <v/>
      </c>
      <c r="J640" s="274"/>
      <c r="K640" s="72"/>
      <c r="L640" s="72"/>
      <c r="M640" s="72"/>
      <c r="N640" s="72"/>
      <c r="O640" s="72"/>
      <c r="P640" s="72"/>
      <c r="Q640" s="72"/>
      <c r="R640" s="72"/>
      <c r="S640" s="72"/>
      <c r="T640" s="72"/>
      <c r="V640" s="72"/>
      <c r="W640" s="72"/>
      <c r="X640" s="72" t="str">
        <f t="shared" si="3"/>
        <v/>
      </c>
      <c r="Y640" s="72"/>
    </row>
    <row r="641">
      <c r="B641" s="1"/>
      <c r="C641" s="1"/>
      <c r="D641" s="1" t="str">
        <f t="shared" si="1"/>
        <v/>
      </c>
      <c r="F641" s="1"/>
      <c r="G641" s="1"/>
      <c r="H641" s="1" t="str">
        <f t="shared" si="2"/>
        <v/>
      </c>
      <c r="J641" s="274"/>
      <c r="K641" s="72"/>
      <c r="L641" s="72"/>
      <c r="M641" s="72"/>
      <c r="N641" s="72"/>
      <c r="O641" s="72"/>
      <c r="P641" s="72"/>
      <c r="Q641" s="72"/>
      <c r="R641" s="72"/>
      <c r="S641" s="72"/>
      <c r="T641" s="72"/>
      <c r="V641" s="72"/>
      <c r="W641" s="72"/>
      <c r="X641" s="72" t="str">
        <f t="shared" si="3"/>
        <v/>
      </c>
      <c r="Y641" s="72"/>
    </row>
    <row r="642">
      <c r="B642" s="1"/>
      <c r="C642" s="1"/>
      <c r="D642" s="1" t="str">
        <f t="shared" si="1"/>
        <v/>
      </c>
      <c r="F642" s="1"/>
      <c r="G642" s="1"/>
      <c r="H642" s="1" t="str">
        <f t="shared" si="2"/>
        <v/>
      </c>
      <c r="J642" s="274"/>
      <c r="K642" s="72"/>
      <c r="L642" s="72"/>
      <c r="M642" s="72"/>
      <c r="N642" s="72"/>
      <c r="O642" s="72"/>
      <c r="P642" s="72"/>
      <c r="Q642" s="72"/>
      <c r="R642" s="72"/>
      <c r="S642" s="72"/>
      <c r="T642" s="72"/>
      <c r="V642" s="72"/>
      <c r="W642" s="72"/>
      <c r="X642" s="72" t="str">
        <f t="shared" si="3"/>
        <v/>
      </c>
      <c r="Y642" s="72"/>
    </row>
    <row r="643">
      <c r="B643" s="1"/>
      <c r="C643" s="1"/>
      <c r="D643" s="1" t="str">
        <f t="shared" si="1"/>
        <v/>
      </c>
      <c r="F643" s="1"/>
      <c r="G643" s="1"/>
      <c r="H643" s="1" t="str">
        <f t="shared" si="2"/>
        <v/>
      </c>
      <c r="J643" s="274"/>
      <c r="K643" s="72"/>
      <c r="L643" s="72"/>
      <c r="M643" s="72"/>
      <c r="N643" s="72"/>
      <c r="O643" s="72"/>
      <c r="P643" s="72"/>
      <c r="Q643" s="72"/>
      <c r="R643" s="72"/>
      <c r="S643" s="72"/>
      <c r="T643" s="72"/>
      <c r="V643" s="72"/>
      <c r="W643" s="72"/>
      <c r="X643" s="72" t="str">
        <f t="shared" si="3"/>
        <v/>
      </c>
      <c r="Y643" s="72"/>
    </row>
    <row r="644">
      <c r="B644" s="1"/>
      <c r="C644" s="1"/>
      <c r="D644" s="1" t="str">
        <f t="shared" si="1"/>
        <v/>
      </c>
      <c r="F644" s="1"/>
      <c r="G644" s="1"/>
      <c r="H644" s="1" t="str">
        <f t="shared" si="2"/>
        <v/>
      </c>
      <c r="J644" s="274"/>
      <c r="K644" s="72"/>
      <c r="L644" s="72"/>
      <c r="M644" s="72"/>
      <c r="N644" s="72"/>
      <c r="O644" s="72"/>
      <c r="P644" s="72"/>
      <c r="Q644" s="72"/>
      <c r="R644" s="72"/>
      <c r="S644" s="72"/>
      <c r="T644" s="72"/>
      <c r="V644" s="72"/>
      <c r="W644" s="72"/>
      <c r="X644" s="72" t="str">
        <f t="shared" si="3"/>
        <v/>
      </c>
      <c r="Y644" s="72"/>
    </row>
    <row r="645">
      <c r="B645" s="1"/>
      <c r="C645" s="1"/>
      <c r="D645" s="1" t="str">
        <f t="shared" si="1"/>
        <v/>
      </c>
      <c r="F645" s="1"/>
      <c r="G645" s="1"/>
      <c r="H645" s="1" t="str">
        <f t="shared" si="2"/>
        <v/>
      </c>
      <c r="J645" s="274"/>
      <c r="K645" s="72"/>
      <c r="L645" s="72"/>
      <c r="M645" s="72"/>
      <c r="N645" s="72"/>
      <c r="O645" s="72"/>
      <c r="P645" s="72"/>
      <c r="Q645" s="72"/>
      <c r="R645" s="72"/>
      <c r="S645" s="72"/>
      <c r="T645" s="72"/>
      <c r="V645" s="72"/>
      <c r="W645" s="72"/>
      <c r="X645" s="72" t="str">
        <f t="shared" si="3"/>
        <v/>
      </c>
      <c r="Y645" s="72"/>
    </row>
    <row r="646">
      <c r="B646" s="1"/>
      <c r="C646" s="1"/>
      <c r="D646" s="1" t="str">
        <f t="shared" si="1"/>
        <v/>
      </c>
      <c r="F646" s="1"/>
      <c r="G646" s="1"/>
      <c r="H646" s="1" t="str">
        <f t="shared" si="2"/>
        <v/>
      </c>
      <c r="J646" s="274"/>
      <c r="K646" s="72"/>
      <c r="L646" s="72"/>
      <c r="M646" s="72"/>
      <c r="N646" s="72"/>
      <c r="O646" s="72"/>
      <c r="P646" s="72"/>
      <c r="Q646" s="72"/>
      <c r="R646" s="72"/>
      <c r="S646" s="72"/>
      <c r="T646" s="72"/>
      <c r="V646" s="72"/>
      <c r="W646" s="72"/>
      <c r="X646" s="72" t="str">
        <f t="shared" si="3"/>
        <v/>
      </c>
      <c r="Y646" s="72"/>
    </row>
    <row r="647">
      <c r="B647" s="1"/>
      <c r="C647" s="1"/>
      <c r="D647" s="1" t="str">
        <f t="shared" si="1"/>
        <v/>
      </c>
      <c r="F647" s="1"/>
      <c r="G647" s="1"/>
      <c r="H647" s="1" t="str">
        <f t="shared" si="2"/>
        <v/>
      </c>
      <c r="J647" s="274"/>
      <c r="K647" s="72"/>
      <c r="L647" s="72"/>
      <c r="M647" s="72"/>
      <c r="N647" s="72"/>
      <c r="O647" s="72"/>
      <c r="P647" s="72"/>
      <c r="Q647" s="72"/>
      <c r="R647" s="72"/>
      <c r="S647" s="72"/>
      <c r="T647" s="72"/>
      <c r="V647" s="72"/>
      <c r="W647" s="72"/>
      <c r="X647" s="72" t="str">
        <f t="shared" si="3"/>
        <v/>
      </c>
      <c r="Y647" s="72"/>
    </row>
    <row r="648">
      <c r="B648" s="1"/>
      <c r="C648" s="1"/>
      <c r="D648" s="1" t="str">
        <f t="shared" si="1"/>
        <v/>
      </c>
      <c r="F648" s="1"/>
      <c r="G648" s="1"/>
      <c r="H648" s="1" t="str">
        <f t="shared" si="2"/>
        <v/>
      </c>
      <c r="J648" s="274"/>
      <c r="K648" s="72"/>
      <c r="L648" s="72"/>
      <c r="M648" s="72"/>
      <c r="N648" s="72"/>
      <c r="O648" s="72"/>
      <c r="P648" s="72"/>
      <c r="Q648" s="72"/>
      <c r="R648" s="72"/>
      <c r="S648" s="72"/>
      <c r="T648" s="72"/>
      <c r="V648" s="72"/>
      <c r="W648" s="72"/>
      <c r="X648" s="72" t="str">
        <f t="shared" si="3"/>
        <v/>
      </c>
      <c r="Y648" s="72"/>
    </row>
    <row r="649">
      <c r="B649" s="1"/>
      <c r="C649" s="1"/>
      <c r="D649" s="1" t="str">
        <f t="shared" si="1"/>
        <v/>
      </c>
      <c r="F649" s="1"/>
      <c r="G649" s="1"/>
      <c r="H649" s="1" t="str">
        <f t="shared" si="2"/>
        <v/>
      </c>
      <c r="J649" s="274"/>
      <c r="K649" s="72"/>
      <c r="L649" s="72"/>
      <c r="M649" s="72"/>
      <c r="N649" s="72"/>
      <c r="O649" s="72"/>
      <c r="P649" s="72"/>
      <c r="Q649" s="72"/>
      <c r="R649" s="72"/>
      <c r="S649" s="72"/>
      <c r="T649" s="72"/>
      <c r="V649" s="72"/>
      <c r="W649" s="72"/>
      <c r="X649" s="72" t="str">
        <f t="shared" si="3"/>
        <v/>
      </c>
      <c r="Y649" s="72"/>
    </row>
    <row r="650">
      <c r="B650" s="1"/>
      <c r="C650" s="1"/>
      <c r="D650" s="1" t="str">
        <f t="shared" si="1"/>
        <v/>
      </c>
      <c r="F650" s="1"/>
      <c r="G650" s="1"/>
      <c r="H650" s="1" t="str">
        <f t="shared" si="2"/>
        <v/>
      </c>
      <c r="J650" s="274"/>
      <c r="K650" s="72"/>
      <c r="L650" s="72"/>
      <c r="M650" s="72"/>
      <c r="N650" s="72"/>
      <c r="O650" s="72"/>
      <c r="P650" s="72"/>
      <c r="Q650" s="72"/>
      <c r="R650" s="72"/>
      <c r="S650" s="72"/>
      <c r="T650" s="72"/>
      <c r="V650" s="72"/>
      <c r="W650" s="72"/>
      <c r="X650" s="72" t="str">
        <f t="shared" si="3"/>
        <v/>
      </c>
      <c r="Y650" s="72"/>
    </row>
    <row r="651">
      <c r="B651" s="1"/>
      <c r="C651" s="1"/>
      <c r="D651" s="1" t="str">
        <f t="shared" si="1"/>
        <v/>
      </c>
      <c r="F651" s="1"/>
      <c r="G651" s="1"/>
      <c r="H651" s="1" t="str">
        <f t="shared" si="2"/>
        <v/>
      </c>
      <c r="J651" s="274"/>
      <c r="K651" s="72"/>
      <c r="L651" s="72"/>
      <c r="M651" s="72"/>
      <c r="N651" s="72"/>
      <c r="O651" s="72"/>
      <c r="P651" s="72"/>
      <c r="Q651" s="72"/>
      <c r="R651" s="72"/>
      <c r="S651" s="72"/>
      <c r="T651" s="72"/>
      <c r="V651" s="72"/>
      <c r="W651" s="72"/>
      <c r="X651" s="72" t="str">
        <f t="shared" si="3"/>
        <v/>
      </c>
      <c r="Y651" s="72"/>
    </row>
    <row r="652">
      <c r="B652" s="1"/>
      <c r="C652" s="1"/>
      <c r="D652" s="1" t="str">
        <f t="shared" si="1"/>
        <v/>
      </c>
      <c r="F652" s="1"/>
      <c r="G652" s="1"/>
      <c r="H652" s="1" t="str">
        <f t="shared" si="2"/>
        <v/>
      </c>
      <c r="J652" s="274"/>
      <c r="K652" s="72"/>
      <c r="L652" s="72"/>
      <c r="M652" s="72"/>
      <c r="N652" s="72"/>
      <c r="O652" s="72"/>
      <c r="P652" s="72"/>
      <c r="Q652" s="72"/>
      <c r="R652" s="72"/>
      <c r="S652" s="72"/>
      <c r="T652" s="72"/>
      <c r="V652" s="72"/>
      <c r="W652" s="72"/>
      <c r="X652" s="72" t="str">
        <f t="shared" si="3"/>
        <v/>
      </c>
      <c r="Y652" s="72"/>
    </row>
    <row r="653">
      <c r="B653" s="1"/>
      <c r="C653" s="1"/>
      <c r="D653" s="1" t="str">
        <f t="shared" si="1"/>
        <v/>
      </c>
      <c r="F653" s="1"/>
      <c r="G653" s="1"/>
      <c r="H653" s="1" t="str">
        <f t="shared" si="2"/>
        <v/>
      </c>
      <c r="J653" s="274"/>
      <c r="K653" s="72"/>
      <c r="L653" s="72"/>
      <c r="M653" s="72"/>
      <c r="N653" s="72"/>
      <c r="O653" s="72"/>
      <c r="P653" s="72"/>
      <c r="Q653" s="72"/>
      <c r="R653" s="72"/>
      <c r="S653" s="72"/>
      <c r="T653" s="72"/>
      <c r="V653" s="72"/>
      <c r="W653" s="72"/>
      <c r="X653" s="72" t="str">
        <f t="shared" si="3"/>
        <v/>
      </c>
      <c r="Y653" s="72"/>
    </row>
    <row r="654">
      <c r="B654" s="1"/>
      <c r="C654" s="1"/>
      <c r="D654" s="1" t="str">
        <f t="shared" si="1"/>
        <v/>
      </c>
      <c r="F654" s="1"/>
      <c r="G654" s="1"/>
      <c r="H654" s="1" t="str">
        <f t="shared" si="2"/>
        <v/>
      </c>
      <c r="J654" s="274"/>
      <c r="K654" s="72"/>
      <c r="L654" s="72"/>
      <c r="M654" s="72"/>
      <c r="N654" s="72"/>
      <c r="O654" s="72"/>
      <c r="P654" s="72"/>
      <c r="Q654" s="72"/>
      <c r="R654" s="72"/>
      <c r="S654" s="72"/>
      <c r="T654" s="72"/>
      <c r="V654" s="72"/>
      <c r="W654" s="72"/>
      <c r="X654" s="72" t="str">
        <f t="shared" si="3"/>
        <v/>
      </c>
      <c r="Y654" s="72"/>
    </row>
    <row r="655">
      <c r="B655" s="1"/>
      <c r="C655" s="1"/>
      <c r="D655" s="1" t="str">
        <f t="shared" si="1"/>
        <v/>
      </c>
      <c r="F655" s="1"/>
      <c r="G655" s="1"/>
      <c r="H655" s="1" t="str">
        <f t="shared" si="2"/>
        <v/>
      </c>
      <c r="J655" s="274"/>
      <c r="K655" s="72"/>
      <c r="L655" s="72"/>
      <c r="M655" s="72"/>
      <c r="N655" s="72"/>
      <c r="O655" s="72"/>
      <c r="P655" s="72"/>
      <c r="Q655" s="72"/>
      <c r="R655" s="72"/>
      <c r="S655" s="72"/>
      <c r="T655" s="72"/>
      <c r="V655" s="72"/>
      <c r="W655" s="72"/>
      <c r="X655" s="72" t="str">
        <f t="shared" si="3"/>
        <v/>
      </c>
      <c r="Y655" s="72"/>
    </row>
    <row r="656">
      <c r="B656" s="1"/>
      <c r="C656" s="1"/>
      <c r="D656" s="1" t="str">
        <f t="shared" si="1"/>
        <v/>
      </c>
      <c r="F656" s="1"/>
      <c r="G656" s="1"/>
      <c r="H656" s="1" t="str">
        <f t="shared" si="2"/>
        <v/>
      </c>
      <c r="J656" s="274"/>
      <c r="K656" s="72"/>
      <c r="L656" s="72"/>
      <c r="M656" s="72"/>
      <c r="N656" s="72"/>
      <c r="O656" s="72"/>
      <c r="P656" s="72"/>
      <c r="Q656" s="72"/>
      <c r="R656" s="72"/>
      <c r="S656" s="72"/>
      <c r="T656" s="72"/>
      <c r="V656" s="72"/>
      <c r="W656" s="72"/>
      <c r="X656" s="72" t="str">
        <f t="shared" si="3"/>
        <v/>
      </c>
      <c r="Y656" s="72"/>
    </row>
    <row r="657">
      <c r="B657" s="1"/>
      <c r="C657" s="1"/>
      <c r="D657" s="1" t="str">
        <f t="shared" si="1"/>
        <v/>
      </c>
      <c r="F657" s="1"/>
      <c r="G657" s="1"/>
      <c r="H657" s="1" t="str">
        <f t="shared" si="2"/>
        <v/>
      </c>
      <c r="J657" s="274"/>
      <c r="K657" s="72"/>
      <c r="L657" s="72"/>
      <c r="M657" s="72"/>
      <c r="N657" s="72"/>
      <c r="O657" s="72"/>
      <c r="P657" s="72"/>
      <c r="Q657" s="72"/>
      <c r="R657" s="72"/>
      <c r="S657" s="72"/>
      <c r="T657" s="72"/>
      <c r="V657" s="72"/>
      <c r="W657" s="72"/>
      <c r="X657" s="72" t="str">
        <f t="shared" si="3"/>
        <v/>
      </c>
      <c r="Y657" s="72"/>
    </row>
    <row r="658">
      <c r="B658" s="1"/>
      <c r="C658" s="1"/>
      <c r="D658" s="1" t="str">
        <f t="shared" si="1"/>
        <v/>
      </c>
      <c r="F658" s="1"/>
      <c r="G658" s="1"/>
      <c r="H658" s="1" t="str">
        <f t="shared" si="2"/>
        <v/>
      </c>
      <c r="J658" s="274"/>
      <c r="K658" s="72"/>
      <c r="L658" s="72"/>
      <c r="M658" s="72"/>
      <c r="N658" s="72"/>
      <c r="O658" s="72"/>
      <c r="P658" s="72"/>
      <c r="Q658" s="72"/>
      <c r="R658" s="72"/>
      <c r="S658" s="72"/>
      <c r="T658" s="72"/>
      <c r="V658" s="72"/>
      <c r="W658" s="72"/>
      <c r="X658" s="72" t="str">
        <f t="shared" si="3"/>
        <v/>
      </c>
      <c r="Y658" s="72"/>
    </row>
    <row r="659">
      <c r="B659" s="1"/>
      <c r="C659" s="1"/>
      <c r="D659" s="1" t="str">
        <f t="shared" si="1"/>
        <v/>
      </c>
      <c r="F659" s="1"/>
      <c r="G659" s="1"/>
      <c r="H659" s="1" t="str">
        <f t="shared" si="2"/>
        <v/>
      </c>
      <c r="J659" s="274"/>
      <c r="K659" s="72"/>
      <c r="L659" s="72"/>
      <c r="M659" s="72"/>
      <c r="N659" s="72"/>
      <c r="O659" s="72"/>
      <c r="P659" s="72"/>
      <c r="Q659" s="72"/>
      <c r="R659" s="72"/>
      <c r="S659" s="72"/>
      <c r="T659" s="72"/>
      <c r="V659" s="72"/>
      <c r="W659" s="72"/>
      <c r="X659" s="72" t="str">
        <f t="shared" si="3"/>
        <v/>
      </c>
      <c r="Y659" s="72"/>
    </row>
    <row r="660">
      <c r="B660" s="1"/>
      <c r="C660" s="1"/>
      <c r="D660" s="1" t="str">
        <f t="shared" si="1"/>
        <v/>
      </c>
      <c r="F660" s="1"/>
      <c r="G660" s="1"/>
      <c r="H660" s="1" t="str">
        <f t="shared" si="2"/>
        <v/>
      </c>
      <c r="J660" s="274"/>
      <c r="K660" s="72"/>
      <c r="L660" s="72"/>
      <c r="M660" s="72"/>
      <c r="N660" s="72"/>
      <c r="O660" s="72"/>
      <c r="P660" s="72"/>
      <c r="Q660" s="72"/>
      <c r="R660" s="72"/>
      <c r="S660" s="72"/>
      <c r="T660" s="72"/>
      <c r="V660" s="72"/>
      <c r="W660" s="72"/>
      <c r="X660" s="72" t="str">
        <f t="shared" si="3"/>
        <v/>
      </c>
      <c r="Y660" s="72"/>
    </row>
    <row r="661">
      <c r="B661" s="1"/>
      <c r="C661" s="1"/>
      <c r="D661" s="1" t="str">
        <f t="shared" si="1"/>
        <v/>
      </c>
      <c r="F661" s="1"/>
      <c r="G661" s="1"/>
      <c r="H661" s="1" t="str">
        <f t="shared" si="2"/>
        <v/>
      </c>
      <c r="J661" s="274"/>
      <c r="K661" s="72"/>
      <c r="L661" s="72"/>
      <c r="M661" s="72"/>
      <c r="N661" s="72"/>
      <c r="O661" s="72"/>
      <c r="P661" s="72"/>
      <c r="Q661" s="72"/>
      <c r="R661" s="72"/>
      <c r="S661" s="72"/>
      <c r="T661" s="72"/>
      <c r="V661" s="72"/>
      <c r="W661" s="72"/>
      <c r="X661" s="72" t="str">
        <f t="shared" si="3"/>
        <v/>
      </c>
      <c r="Y661" s="72"/>
    </row>
    <row r="662">
      <c r="B662" s="1"/>
      <c r="C662" s="1"/>
      <c r="D662" s="1" t="str">
        <f t="shared" si="1"/>
        <v/>
      </c>
      <c r="F662" s="1"/>
      <c r="G662" s="1"/>
      <c r="H662" s="1" t="str">
        <f t="shared" si="2"/>
        <v/>
      </c>
      <c r="J662" s="274"/>
      <c r="K662" s="72"/>
      <c r="L662" s="72"/>
      <c r="M662" s="72"/>
      <c r="N662" s="72"/>
      <c r="O662" s="72"/>
      <c r="P662" s="72"/>
      <c r="Q662" s="72"/>
      <c r="R662" s="72"/>
      <c r="S662" s="72"/>
      <c r="T662" s="72"/>
      <c r="V662" s="72"/>
      <c r="W662" s="72"/>
      <c r="X662" s="72" t="str">
        <f t="shared" si="3"/>
        <v/>
      </c>
      <c r="Y662" s="72"/>
    </row>
    <row r="663">
      <c r="B663" s="1"/>
      <c r="C663" s="1"/>
      <c r="D663" s="1" t="str">
        <f t="shared" si="1"/>
        <v/>
      </c>
      <c r="F663" s="1"/>
      <c r="G663" s="1"/>
      <c r="H663" s="1" t="str">
        <f t="shared" si="2"/>
        <v/>
      </c>
      <c r="J663" s="274"/>
      <c r="K663" s="72"/>
      <c r="L663" s="72"/>
      <c r="M663" s="72"/>
      <c r="N663" s="72"/>
      <c r="O663" s="72"/>
      <c r="P663" s="72"/>
      <c r="Q663" s="72"/>
      <c r="R663" s="72"/>
      <c r="S663" s="72"/>
      <c r="T663" s="72"/>
      <c r="V663" s="72"/>
      <c r="W663" s="72"/>
      <c r="X663" s="72" t="str">
        <f t="shared" si="3"/>
        <v/>
      </c>
      <c r="Y663" s="72"/>
    </row>
    <row r="664">
      <c r="B664" s="1"/>
      <c r="C664" s="1"/>
      <c r="D664" s="1" t="str">
        <f t="shared" si="1"/>
        <v/>
      </c>
      <c r="F664" s="1"/>
      <c r="G664" s="1"/>
      <c r="H664" s="1" t="str">
        <f t="shared" si="2"/>
        <v/>
      </c>
      <c r="J664" s="274"/>
      <c r="K664" s="72"/>
      <c r="L664" s="72"/>
      <c r="M664" s="72"/>
      <c r="N664" s="72"/>
      <c r="O664" s="72"/>
      <c r="P664" s="72"/>
      <c r="Q664" s="72"/>
      <c r="R664" s="72"/>
      <c r="S664" s="72"/>
      <c r="T664" s="72"/>
      <c r="V664" s="72"/>
      <c r="W664" s="72"/>
      <c r="X664" s="72" t="str">
        <f t="shared" si="3"/>
        <v/>
      </c>
      <c r="Y664" s="72"/>
    </row>
    <row r="665">
      <c r="B665" s="1"/>
      <c r="C665" s="1"/>
      <c r="D665" s="1" t="str">
        <f t="shared" si="1"/>
        <v/>
      </c>
      <c r="F665" s="1"/>
      <c r="G665" s="1"/>
      <c r="H665" s="1" t="str">
        <f t="shared" si="2"/>
        <v/>
      </c>
      <c r="J665" s="274"/>
      <c r="K665" s="72"/>
      <c r="L665" s="72"/>
      <c r="M665" s="72"/>
      <c r="N665" s="72"/>
      <c r="O665" s="72"/>
      <c r="P665" s="72"/>
      <c r="Q665" s="72"/>
      <c r="R665" s="72"/>
      <c r="S665" s="72"/>
      <c r="T665" s="72"/>
      <c r="V665" s="72"/>
      <c r="W665" s="72"/>
      <c r="X665" s="72" t="str">
        <f t="shared" si="3"/>
        <v/>
      </c>
      <c r="Y665" s="72"/>
    </row>
    <row r="666">
      <c r="B666" s="1"/>
      <c r="C666" s="1"/>
      <c r="D666" s="1" t="str">
        <f t="shared" si="1"/>
        <v/>
      </c>
      <c r="F666" s="1"/>
      <c r="G666" s="1"/>
      <c r="H666" s="1" t="str">
        <f t="shared" si="2"/>
        <v/>
      </c>
      <c r="J666" s="274"/>
      <c r="K666" s="72"/>
      <c r="L666" s="72"/>
      <c r="M666" s="72"/>
      <c r="N666" s="72"/>
      <c r="O666" s="72"/>
      <c r="P666" s="72"/>
      <c r="Q666" s="72"/>
      <c r="R666" s="72"/>
      <c r="S666" s="72"/>
      <c r="T666" s="72"/>
      <c r="V666" s="72"/>
      <c r="W666" s="72"/>
      <c r="X666" s="72" t="str">
        <f t="shared" si="3"/>
        <v/>
      </c>
      <c r="Y666" s="72"/>
    </row>
    <row r="667">
      <c r="B667" s="1"/>
      <c r="C667" s="1"/>
      <c r="D667" s="1" t="str">
        <f t="shared" si="1"/>
        <v/>
      </c>
      <c r="F667" s="1"/>
      <c r="G667" s="1"/>
      <c r="H667" s="1" t="str">
        <f t="shared" si="2"/>
        <v/>
      </c>
      <c r="J667" s="274"/>
      <c r="K667" s="72"/>
      <c r="L667" s="72"/>
      <c r="M667" s="72"/>
      <c r="N667" s="72"/>
      <c r="O667" s="72"/>
      <c r="P667" s="72"/>
      <c r="Q667" s="72"/>
      <c r="R667" s="72"/>
      <c r="S667" s="72"/>
      <c r="T667" s="72"/>
      <c r="V667" s="72"/>
      <c r="W667" s="72"/>
      <c r="X667" s="72" t="str">
        <f t="shared" si="3"/>
        <v/>
      </c>
      <c r="Y667" s="72"/>
    </row>
    <row r="668">
      <c r="B668" s="1"/>
      <c r="C668" s="1"/>
      <c r="D668" s="1" t="str">
        <f t="shared" si="1"/>
        <v/>
      </c>
      <c r="F668" s="1"/>
      <c r="G668" s="1"/>
      <c r="H668" s="1" t="str">
        <f t="shared" si="2"/>
        <v/>
      </c>
      <c r="J668" s="274"/>
      <c r="K668" s="72"/>
      <c r="L668" s="72"/>
      <c r="M668" s="72"/>
      <c r="N668" s="72"/>
      <c r="O668" s="72"/>
      <c r="P668" s="72"/>
      <c r="Q668" s="72"/>
      <c r="R668" s="72"/>
      <c r="S668" s="72"/>
      <c r="T668" s="72"/>
      <c r="V668" s="72"/>
      <c r="W668" s="72"/>
      <c r="X668" s="72" t="str">
        <f t="shared" si="3"/>
        <v/>
      </c>
      <c r="Y668" s="72"/>
    </row>
    <row r="669">
      <c r="B669" s="1"/>
      <c r="C669" s="1"/>
      <c r="D669" s="1" t="str">
        <f t="shared" si="1"/>
        <v/>
      </c>
      <c r="F669" s="1"/>
      <c r="G669" s="1"/>
      <c r="H669" s="1" t="str">
        <f t="shared" si="2"/>
        <v/>
      </c>
      <c r="J669" s="274"/>
      <c r="K669" s="72"/>
      <c r="L669" s="72"/>
      <c r="M669" s="72"/>
      <c r="N669" s="72"/>
      <c r="O669" s="72"/>
      <c r="P669" s="72"/>
      <c r="Q669" s="72"/>
      <c r="R669" s="72"/>
      <c r="S669" s="72"/>
      <c r="T669" s="72"/>
      <c r="V669" s="72"/>
      <c r="W669" s="72"/>
      <c r="X669" s="72" t="str">
        <f t="shared" si="3"/>
        <v/>
      </c>
      <c r="Y669" s="72"/>
    </row>
    <row r="670">
      <c r="B670" s="1"/>
      <c r="C670" s="1"/>
      <c r="D670" s="1" t="str">
        <f t="shared" si="1"/>
        <v/>
      </c>
      <c r="F670" s="1"/>
      <c r="G670" s="1"/>
      <c r="H670" s="1" t="str">
        <f t="shared" si="2"/>
        <v/>
      </c>
      <c r="J670" s="274"/>
      <c r="K670" s="72"/>
      <c r="L670" s="72"/>
      <c r="M670" s="72"/>
      <c r="N670" s="72"/>
      <c r="O670" s="72"/>
      <c r="P670" s="72"/>
      <c r="Q670" s="72"/>
      <c r="R670" s="72"/>
      <c r="S670" s="72"/>
      <c r="T670" s="72"/>
      <c r="V670" s="72"/>
      <c r="W670" s="72"/>
      <c r="X670" s="72" t="str">
        <f t="shared" si="3"/>
        <v/>
      </c>
      <c r="Y670" s="72"/>
    </row>
    <row r="671">
      <c r="B671" s="1"/>
      <c r="C671" s="1"/>
      <c r="D671" s="1" t="str">
        <f t="shared" si="1"/>
        <v/>
      </c>
      <c r="F671" s="1"/>
      <c r="G671" s="1"/>
      <c r="H671" s="1" t="str">
        <f t="shared" si="2"/>
        <v/>
      </c>
      <c r="J671" s="274"/>
      <c r="K671" s="72"/>
      <c r="L671" s="72"/>
      <c r="M671" s="72"/>
      <c r="N671" s="72"/>
      <c r="O671" s="72"/>
      <c r="P671" s="72"/>
      <c r="Q671" s="72"/>
      <c r="R671" s="72"/>
      <c r="S671" s="72"/>
      <c r="T671" s="72"/>
      <c r="V671" s="72"/>
      <c r="W671" s="72"/>
      <c r="X671" s="72" t="str">
        <f t="shared" si="3"/>
        <v/>
      </c>
      <c r="Y671" s="72"/>
    </row>
    <row r="672">
      <c r="B672" s="1"/>
      <c r="C672" s="1"/>
      <c r="D672" s="1" t="str">
        <f t="shared" si="1"/>
        <v/>
      </c>
      <c r="F672" s="1"/>
      <c r="G672" s="1"/>
      <c r="H672" s="1" t="str">
        <f t="shared" si="2"/>
        <v/>
      </c>
      <c r="J672" s="274"/>
      <c r="K672" s="72"/>
      <c r="L672" s="72"/>
      <c r="M672" s="72"/>
      <c r="N672" s="72"/>
      <c r="O672" s="72"/>
      <c r="P672" s="72"/>
      <c r="Q672" s="72"/>
      <c r="R672" s="72"/>
      <c r="S672" s="72"/>
      <c r="T672" s="72"/>
      <c r="V672" s="72"/>
      <c r="W672" s="72"/>
      <c r="X672" s="72" t="str">
        <f t="shared" si="3"/>
        <v/>
      </c>
      <c r="Y672" s="72"/>
    </row>
    <row r="673">
      <c r="B673" s="1"/>
      <c r="C673" s="1"/>
      <c r="D673" s="1" t="str">
        <f t="shared" si="1"/>
        <v/>
      </c>
      <c r="F673" s="1"/>
      <c r="G673" s="1"/>
      <c r="H673" s="1" t="str">
        <f t="shared" si="2"/>
        <v/>
      </c>
      <c r="J673" s="274"/>
      <c r="K673" s="72"/>
      <c r="L673" s="72"/>
      <c r="M673" s="72"/>
      <c r="N673" s="72"/>
      <c r="O673" s="72"/>
      <c r="P673" s="72"/>
      <c r="Q673" s="72"/>
      <c r="R673" s="72"/>
      <c r="S673" s="72"/>
      <c r="T673" s="72"/>
      <c r="V673" s="72"/>
      <c r="W673" s="72"/>
      <c r="X673" s="72" t="str">
        <f t="shared" si="3"/>
        <v/>
      </c>
      <c r="Y673" s="72"/>
    </row>
    <row r="674">
      <c r="B674" s="1"/>
      <c r="C674" s="1"/>
      <c r="D674" s="1" t="str">
        <f t="shared" si="1"/>
        <v/>
      </c>
      <c r="F674" s="1"/>
      <c r="G674" s="1"/>
      <c r="H674" s="1" t="str">
        <f t="shared" si="2"/>
        <v/>
      </c>
      <c r="J674" s="274"/>
      <c r="K674" s="72"/>
      <c r="L674" s="72"/>
      <c r="M674" s="72"/>
      <c r="N674" s="72"/>
      <c r="O674" s="72"/>
      <c r="P674" s="72"/>
      <c r="Q674" s="72"/>
      <c r="R674" s="72"/>
      <c r="S674" s="72"/>
      <c r="T674" s="72"/>
      <c r="V674" s="72"/>
      <c r="W674" s="72"/>
      <c r="X674" s="72" t="str">
        <f t="shared" si="3"/>
        <v/>
      </c>
      <c r="Y674" s="72"/>
    </row>
    <row r="675">
      <c r="B675" s="1"/>
      <c r="C675" s="1"/>
      <c r="D675" s="1" t="str">
        <f t="shared" si="1"/>
        <v/>
      </c>
      <c r="F675" s="1"/>
      <c r="G675" s="1"/>
      <c r="H675" s="1" t="str">
        <f t="shared" si="2"/>
        <v/>
      </c>
      <c r="J675" s="274"/>
      <c r="K675" s="72"/>
      <c r="L675" s="72"/>
      <c r="M675" s="72"/>
      <c r="N675" s="72"/>
      <c r="O675" s="72"/>
      <c r="P675" s="72"/>
      <c r="Q675" s="72"/>
      <c r="R675" s="72"/>
      <c r="S675" s="72"/>
      <c r="T675" s="72"/>
      <c r="V675" s="72"/>
      <c r="W675" s="72"/>
      <c r="X675" s="72" t="str">
        <f t="shared" si="3"/>
        <v/>
      </c>
      <c r="Y675" s="72"/>
    </row>
    <row r="676">
      <c r="B676" s="1"/>
      <c r="C676" s="1"/>
      <c r="D676" s="1" t="str">
        <f t="shared" si="1"/>
        <v/>
      </c>
      <c r="F676" s="1"/>
      <c r="G676" s="1"/>
      <c r="H676" s="1" t="str">
        <f t="shared" si="2"/>
        <v/>
      </c>
      <c r="J676" s="274"/>
      <c r="K676" s="72"/>
      <c r="L676" s="72"/>
      <c r="M676" s="72"/>
      <c r="N676" s="72"/>
      <c r="O676" s="72"/>
      <c r="P676" s="72"/>
      <c r="Q676" s="72"/>
      <c r="R676" s="72"/>
      <c r="S676" s="72"/>
      <c r="T676" s="72"/>
      <c r="V676" s="72"/>
      <c r="W676" s="72"/>
      <c r="X676" s="72" t="str">
        <f t="shared" si="3"/>
        <v/>
      </c>
      <c r="Y676" s="72"/>
    </row>
    <row r="677">
      <c r="B677" s="1"/>
      <c r="C677" s="1"/>
      <c r="D677" s="1" t="str">
        <f t="shared" si="1"/>
        <v/>
      </c>
      <c r="F677" s="1"/>
      <c r="G677" s="1"/>
      <c r="H677" s="1" t="str">
        <f t="shared" si="2"/>
        <v/>
      </c>
      <c r="J677" s="274"/>
      <c r="K677" s="72"/>
      <c r="L677" s="72"/>
      <c r="M677" s="72"/>
      <c r="N677" s="72"/>
      <c r="O677" s="72"/>
      <c r="P677" s="72"/>
      <c r="Q677" s="72"/>
      <c r="R677" s="72"/>
      <c r="S677" s="72"/>
      <c r="T677" s="72"/>
      <c r="V677" s="72"/>
      <c r="W677" s="72"/>
      <c r="X677" s="72" t="str">
        <f t="shared" si="3"/>
        <v/>
      </c>
      <c r="Y677" s="72"/>
    </row>
    <row r="678">
      <c r="B678" s="1"/>
      <c r="C678" s="1"/>
      <c r="D678" s="1" t="str">
        <f t="shared" si="1"/>
        <v/>
      </c>
      <c r="F678" s="1"/>
      <c r="G678" s="1"/>
      <c r="H678" s="1" t="str">
        <f t="shared" si="2"/>
        <v/>
      </c>
      <c r="J678" s="274"/>
      <c r="K678" s="72"/>
      <c r="L678" s="72"/>
      <c r="M678" s="72"/>
      <c r="N678" s="72"/>
      <c r="O678" s="72"/>
      <c r="P678" s="72"/>
      <c r="Q678" s="72"/>
      <c r="R678" s="72"/>
      <c r="S678" s="72"/>
      <c r="T678" s="72"/>
      <c r="V678" s="72"/>
      <c r="W678" s="72"/>
      <c r="X678" s="72" t="str">
        <f t="shared" si="3"/>
        <v/>
      </c>
      <c r="Y678" s="72"/>
    </row>
    <row r="679">
      <c r="B679" s="1"/>
      <c r="C679" s="1"/>
      <c r="D679" s="1" t="str">
        <f t="shared" si="1"/>
        <v/>
      </c>
      <c r="F679" s="1"/>
      <c r="G679" s="1"/>
      <c r="H679" s="1" t="str">
        <f t="shared" si="2"/>
        <v/>
      </c>
      <c r="J679" s="274"/>
      <c r="K679" s="72"/>
      <c r="L679" s="72"/>
      <c r="M679" s="72"/>
      <c r="N679" s="72"/>
      <c r="O679" s="72"/>
      <c r="P679" s="72"/>
      <c r="Q679" s="72"/>
      <c r="R679" s="72"/>
      <c r="S679" s="72"/>
      <c r="T679" s="72"/>
      <c r="V679" s="72"/>
      <c r="W679" s="72"/>
      <c r="X679" s="72" t="str">
        <f t="shared" si="3"/>
        <v/>
      </c>
      <c r="Y679" s="72"/>
    </row>
    <row r="680">
      <c r="B680" s="1"/>
      <c r="C680" s="1"/>
      <c r="D680" s="1" t="str">
        <f t="shared" si="1"/>
        <v/>
      </c>
      <c r="F680" s="1"/>
      <c r="G680" s="1"/>
      <c r="H680" s="1" t="str">
        <f t="shared" si="2"/>
        <v/>
      </c>
      <c r="J680" s="274"/>
      <c r="K680" s="72"/>
      <c r="L680" s="72"/>
      <c r="M680" s="72"/>
      <c r="N680" s="72"/>
      <c r="O680" s="72"/>
      <c r="P680" s="72"/>
      <c r="Q680" s="72"/>
      <c r="R680" s="72"/>
      <c r="S680" s="72"/>
      <c r="T680" s="72"/>
      <c r="V680" s="72"/>
      <c r="W680" s="72"/>
      <c r="X680" s="72" t="str">
        <f t="shared" si="3"/>
        <v/>
      </c>
      <c r="Y680" s="72"/>
    </row>
    <row r="681">
      <c r="B681" s="1"/>
      <c r="C681" s="1"/>
      <c r="D681" s="1" t="str">
        <f t="shared" si="1"/>
        <v/>
      </c>
      <c r="F681" s="1"/>
      <c r="G681" s="1"/>
      <c r="H681" s="1" t="str">
        <f t="shared" si="2"/>
        <v/>
      </c>
      <c r="J681" s="274"/>
      <c r="K681" s="72"/>
      <c r="L681" s="72"/>
      <c r="M681" s="72"/>
      <c r="N681" s="72"/>
      <c r="O681" s="72"/>
      <c r="P681" s="72"/>
      <c r="Q681" s="72"/>
      <c r="R681" s="72"/>
      <c r="S681" s="72"/>
      <c r="T681" s="72"/>
      <c r="V681" s="72"/>
      <c r="W681" s="72"/>
      <c r="X681" s="72" t="str">
        <f t="shared" si="3"/>
        <v/>
      </c>
      <c r="Y681" s="72"/>
    </row>
    <row r="682">
      <c r="B682" s="1"/>
      <c r="C682" s="1"/>
      <c r="D682" s="1" t="str">
        <f t="shared" si="1"/>
        <v/>
      </c>
      <c r="F682" s="1"/>
      <c r="G682" s="1"/>
      <c r="H682" s="1" t="str">
        <f t="shared" si="2"/>
        <v/>
      </c>
      <c r="J682" s="274"/>
      <c r="K682" s="72"/>
      <c r="L682" s="72"/>
      <c r="M682" s="72"/>
      <c r="N682" s="72"/>
      <c r="O682" s="72"/>
      <c r="P682" s="72"/>
      <c r="Q682" s="72"/>
      <c r="R682" s="72"/>
      <c r="S682" s="72"/>
      <c r="T682" s="72"/>
      <c r="V682" s="72"/>
      <c r="W682" s="72"/>
      <c r="X682" s="72" t="str">
        <f t="shared" si="3"/>
        <v/>
      </c>
      <c r="Y682" s="72"/>
    </row>
    <row r="683">
      <c r="B683" s="1"/>
      <c r="C683" s="1"/>
      <c r="D683" s="1" t="str">
        <f t="shared" si="1"/>
        <v/>
      </c>
      <c r="F683" s="1"/>
      <c r="G683" s="1"/>
      <c r="H683" s="1" t="str">
        <f t="shared" si="2"/>
        <v/>
      </c>
      <c r="J683" s="274"/>
      <c r="K683" s="72"/>
      <c r="L683" s="72"/>
      <c r="M683" s="72"/>
      <c r="N683" s="72"/>
      <c r="O683" s="72"/>
      <c r="P683" s="72"/>
      <c r="Q683" s="72"/>
      <c r="R683" s="72"/>
      <c r="S683" s="72"/>
      <c r="T683" s="72"/>
      <c r="V683" s="72"/>
      <c r="W683" s="72"/>
      <c r="X683" s="72" t="str">
        <f t="shared" si="3"/>
        <v/>
      </c>
      <c r="Y683" s="72"/>
    </row>
    <row r="684">
      <c r="B684" s="1"/>
      <c r="C684" s="1"/>
      <c r="D684" s="1" t="str">
        <f t="shared" si="1"/>
        <v/>
      </c>
      <c r="F684" s="1"/>
      <c r="G684" s="1"/>
      <c r="H684" s="1" t="str">
        <f t="shared" si="2"/>
        <v/>
      </c>
      <c r="J684" s="274"/>
      <c r="K684" s="72"/>
      <c r="L684" s="72"/>
      <c r="M684" s="72"/>
      <c r="N684" s="72"/>
      <c r="O684" s="72"/>
      <c r="P684" s="72"/>
      <c r="Q684" s="72"/>
      <c r="R684" s="72"/>
      <c r="S684" s="72"/>
      <c r="T684" s="72"/>
      <c r="V684" s="72"/>
      <c r="W684" s="72"/>
      <c r="X684" s="72" t="str">
        <f t="shared" si="3"/>
        <v/>
      </c>
      <c r="Y684" s="72"/>
    </row>
    <row r="685">
      <c r="B685" s="1"/>
      <c r="C685" s="1"/>
      <c r="D685" s="1" t="str">
        <f t="shared" si="1"/>
        <v/>
      </c>
      <c r="F685" s="1"/>
      <c r="G685" s="1"/>
      <c r="H685" s="1" t="str">
        <f t="shared" si="2"/>
        <v/>
      </c>
      <c r="J685" s="274"/>
      <c r="K685" s="72"/>
      <c r="L685" s="72"/>
      <c r="M685" s="72"/>
      <c r="N685" s="72"/>
      <c r="O685" s="72"/>
      <c r="P685" s="72"/>
      <c r="Q685" s="72"/>
      <c r="R685" s="72"/>
      <c r="S685" s="72"/>
      <c r="T685" s="72"/>
      <c r="V685" s="72"/>
      <c r="W685" s="72"/>
      <c r="X685" s="72" t="str">
        <f t="shared" si="3"/>
        <v/>
      </c>
      <c r="Y685" s="72"/>
    </row>
    <row r="686">
      <c r="B686" s="1"/>
      <c r="C686" s="1"/>
      <c r="D686" s="1" t="str">
        <f t="shared" si="1"/>
        <v/>
      </c>
      <c r="F686" s="1"/>
      <c r="G686" s="1"/>
      <c r="H686" s="1" t="str">
        <f t="shared" si="2"/>
        <v/>
      </c>
      <c r="J686" s="274"/>
      <c r="K686" s="72"/>
      <c r="L686" s="72"/>
      <c r="M686" s="72"/>
      <c r="N686" s="72"/>
      <c r="O686" s="72"/>
      <c r="P686" s="72"/>
      <c r="Q686" s="72"/>
      <c r="R686" s="72"/>
      <c r="S686" s="72"/>
      <c r="T686" s="72"/>
      <c r="V686" s="72"/>
      <c r="W686" s="72"/>
      <c r="X686" s="72" t="str">
        <f t="shared" si="3"/>
        <v/>
      </c>
      <c r="Y686" s="72"/>
    </row>
    <row r="687">
      <c r="B687" s="1"/>
      <c r="C687" s="1"/>
      <c r="D687" s="1" t="str">
        <f t="shared" si="1"/>
        <v/>
      </c>
      <c r="F687" s="1"/>
      <c r="G687" s="1"/>
      <c r="H687" s="1" t="str">
        <f t="shared" si="2"/>
        <v/>
      </c>
      <c r="J687" s="274"/>
      <c r="K687" s="72"/>
      <c r="L687" s="72"/>
      <c r="M687" s="72"/>
      <c r="N687" s="72"/>
      <c r="O687" s="72"/>
      <c r="P687" s="72"/>
      <c r="Q687" s="72"/>
      <c r="R687" s="72"/>
      <c r="S687" s="72"/>
      <c r="T687" s="72"/>
      <c r="V687" s="72"/>
      <c r="W687" s="72"/>
      <c r="X687" s="72" t="str">
        <f t="shared" si="3"/>
        <v/>
      </c>
      <c r="Y687" s="72"/>
    </row>
    <row r="688">
      <c r="B688" s="1"/>
      <c r="C688" s="1"/>
      <c r="D688" s="1" t="str">
        <f t="shared" si="1"/>
        <v/>
      </c>
      <c r="F688" s="1"/>
      <c r="G688" s="1"/>
      <c r="H688" s="1" t="str">
        <f t="shared" si="2"/>
        <v/>
      </c>
      <c r="J688" s="274"/>
      <c r="K688" s="72"/>
      <c r="L688" s="72"/>
      <c r="M688" s="72"/>
      <c r="N688" s="72"/>
      <c r="O688" s="72"/>
      <c r="P688" s="72"/>
      <c r="Q688" s="72"/>
      <c r="R688" s="72"/>
      <c r="S688" s="72"/>
      <c r="T688" s="72"/>
      <c r="V688" s="72"/>
      <c r="W688" s="72"/>
      <c r="X688" s="72" t="str">
        <f t="shared" si="3"/>
        <v/>
      </c>
      <c r="Y688" s="72"/>
    </row>
    <row r="689">
      <c r="B689" s="1"/>
      <c r="C689" s="1"/>
      <c r="D689" s="1" t="str">
        <f t="shared" si="1"/>
        <v/>
      </c>
      <c r="F689" s="1"/>
      <c r="G689" s="1"/>
      <c r="H689" s="1" t="str">
        <f t="shared" si="2"/>
        <v/>
      </c>
      <c r="J689" s="274"/>
      <c r="K689" s="72"/>
      <c r="L689" s="72"/>
      <c r="M689" s="72"/>
      <c r="N689" s="72"/>
      <c r="O689" s="72"/>
      <c r="P689" s="72"/>
      <c r="Q689" s="72"/>
      <c r="R689" s="72"/>
      <c r="S689" s="72"/>
      <c r="T689" s="72"/>
      <c r="V689" s="72"/>
      <c r="W689" s="72"/>
      <c r="X689" s="72" t="str">
        <f t="shared" si="3"/>
        <v/>
      </c>
      <c r="Y689" s="72"/>
    </row>
    <row r="690">
      <c r="B690" s="1"/>
      <c r="C690" s="1"/>
      <c r="D690" s="1" t="str">
        <f t="shared" si="1"/>
        <v/>
      </c>
      <c r="F690" s="1"/>
      <c r="G690" s="1"/>
      <c r="H690" s="1" t="str">
        <f t="shared" si="2"/>
        <v/>
      </c>
      <c r="J690" s="274"/>
      <c r="K690" s="72"/>
      <c r="L690" s="72"/>
      <c r="M690" s="72"/>
      <c r="N690" s="72"/>
      <c r="O690" s="72"/>
      <c r="P690" s="72"/>
      <c r="Q690" s="72"/>
      <c r="R690" s="72"/>
      <c r="S690" s="72"/>
      <c r="T690" s="72"/>
      <c r="V690" s="72"/>
      <c r="W690" s="72"/>
      <c r="X690" s="72" t="str">
        <f t="shared" si="3"/>
        <v/>
      </c>
      <c r="Y690" s="72"/>
    </row>
    <row r="691">
      <c r="B691" s="1"/>
      <c r="C691" s="1"/>
      <c r="D691" s="1" t="str">
        <f t="shared" si="1"/>
        <v/>
      </c>
      <c r="F691" s="1"/>
      <c r="G691" s="1"/>
      <c r="H691" s="1" t="str">
        <f t="shared" si="2"/>
        <v/>
      </c>
      <c r="J691" s="274"/>
      <c r="K691" s="72"/>
      <c r="L691" s="72"/>
      <c r="M691" s="72"/>
      <c r="N691" s="72"/>
      <c r="O691" s="72"/>
      <c r="P691" s="72"/>
      <c r="Q691" s="72"/>
      <c r="R691" s="72"/>
      <c r="S691" s="72"/>
      <c r="T691" s="72"/>
      <c r="V691" s="72"/>
      <c r="W691" s="72"/>
      <c r="X691" s="72" t="str">
        <f t="shared" si="3"/>
        <v/>
      </c>
      <c r="Y691" s="72"/>
    </row>
    <row r="692">
      <c r="B692" s="1"/>
      <c r="C692" s="1"/>
      <c r="D692" s="1" t="str">
        <f t="shared" si="1"/>
        <v/>
      </c>
      <c r="F692" s="1"/>
      <c r="G692" s="1"/>
      <c r="H692" s="1" t="str">
        <f t="shared" si="2"/>
        <v/>
      </c>
      <c r="J692" s="274"/>
      <c r="K692" s="72"/>
      <c r="L692" s="72"/>
      <c r="M692" s="72"/>
      <c r="N692" s="72"/>
      <c r="O692" s="72"/>
      <c r="P692" s="72"/>
      <c r="Q692" s="72"/>
      <c r="R692" s="72"/>
      <c r="S692" s="72"/>
      <c r="T692" s="72"/>
      <c r="V692" s="72"/>
      <c r="W692" s="72"/>
      <c r="X692" s="72" t="str">
        <f t="shared" si="3"/>
        <v/>
      </c>
      <c r="Y692" s="72"/>
    </row>
    <row r="693">
      <c r="B693" s="1"/>
      <c r="C693" s="1"/>
      <c r="D693" s="1" t="str">
        <f t="shared" si="1"/>
        <v/>
      </c>
      <c r="F693" s="1"/>
      <c r="G693" s="1"/>
      <c r="H693" s="1" t="str">
        <f t="shared" si="2"/>
        <v/>
      </c>
      <c r="J693" s="274"/>
      <c r="K693" s="72"/>
      <c r="L693" s="72"/>
      <c r="M693" s="72"/>
      <c r="N693" s="72"/>
      <c r="O693" s="72"/>
      <c r="P693" s="72"/>
      <c r="Q693" s="72"/>
      <c r="R693" s="72"/>
      <c r="S693" s="72"/>
      <c r="T693" s="72"/>
      <c r="V693" s="72"/>
      <c r="W693" s="72"/>
      <c r="X693" s="72" t="str">
        <f t="shared" si="3"/>
        <v/>
      </c>
      <c r="Y693" s="72"/>
    </row>
    <row r="694">
      <c r="B694" s="1"/>
      <c r="C694" s="1"/>
      <c r="D694" s="1" t="str">
        <f t="shared" si="1"/>
        <v/>
      </c>
      <c r="F694" s="1"/>
      <c r="G694" s="1"/>
      <c r="H694" s="1" t="str">
        <f t="shared" si="2"/>
        <v/>
      </c>
      <c r="J694" s="274"/>
      <c r="K694" s="72"/>
      <c r="L694" s="72"/>
      <c r="M694" s="72"/>
      <c r="N694" s="72"/>
      <c r="O694" s="72"/>
      <c r="P694" s="72"/>
      <c r="Q694" s="72"/>
      <c r="R694" s="72"/>
      <c r="S694" s="72"/>
      <c r="T694" s="72"/>
      <c r="V694" s="72"/>
      <c r="W694" s="72"/>
      <c r="X694" s="72" t="str">
        <f t="shared" si="3"/>
        <v/>
      </c>
      <c r="Y694" s="72"/>
    </row>
    <row r="695">
      <c r="B695" s="1"/>
      <c r="C695" s="1"/>
      <c r="D695" s="1" t="str">
        <f t="shared" si="1"/>
        <v/>
      </c>
      <c r="F695" s="1"/>
      <c r="G695" s="1"/>
      <c r="H695" s="1" t="str">
        <f t="shared" si="2"/>
        <v/>
      </c>
      <c r="J695" s="274"/>
      <c r="K695" s="72"/>
      <c r="L695" s="72"/>
      <c r="M695" s="72"/>
      <c r="N695" s="72"/>
      <c r="O695" s="72"/>
      <c r="P695" s="72"/>
      <c r="Q695" s="72"/>
      <c r="R695" s="72"/>
      <c r="S695" s="72"/>
      <c r="T695" s="72"/>
      <c r="V695" s="72"/>
      <c r="W695" s="72"/>
      <c r="X695" s="72" t="str">
        <f t="shared" si="3"/>
        <v/>
      </c>
      <c r="Y695" s="72"/>
    </row>
    <row r="696">
      <c r="B696" s="1"/>
      <c r="C696" s="1"/>
      <c r="D696" s="1" t="str">
        <f t="shared" si="1"/>
        <v/>
      </c>
      <c r="F696" s="1"/>
      <c r="G696" s="1"/>
      <c r="H696" s="1" t="str">
        <f t="shared" si="2"/>
        <v/>
      </c>
      <c r="J696" s="274"/>
      <c r="K696" s="72"/>
      <c r="L696" s="72"/>
      <c r="M696" s="72"/>
      <c r="N696" s="72"/>
      <c r="O696" s="72"/>
      <c r="P696" s="72"/>
      <c r="Q696" s="72"/>
      <c r="R696" s="72"/>
      <c r="S696" s="72"/>
      <c r="T696" s="72"/>
      <c r="V696" s="72"/>
      <c r="W696" s="72"/>
      <c r="X696" s="72" t="str">
        <f t="shared" si="3"/>
        <v/>
      </c>
      <c r="Y696" s="72"/>
    </row>
    <row r="697">
      <c r="B697" s="1"/>
      <c r="C697" s="1"/>
      <c r="D697" s="1" t="str">
        <f t="shared" si="1"/>
        <v/>
      </c>
      <c r="F697" s="1"/>
      <c r="G697" s="1"/>
      <c r="H697" s="1" t="str">
        <f t="shared" si="2"/>
        <v/>
      </c>
      <c r="J697" s="274"/>
      <c r="K697" s="72"/>
      <c r="L697" s="72"/>
      <c r="M697" s="72"/>
      <c r="N697" s="72"/>
      <c r="O697" s="72"/>
      <c r="P697" s="72"/>
      <c r="Q697" s="72"/>
      <c r="R697" s="72"/>
      <c r="S697" s="72"/>
      <c r="T697" s="72"/>
      <c r="V697" s="72"/>
      <c r="W697" s="72"/>
      <c r="X697" s="72" t="str">
        <f t="shared" si="3"/>
        <v/>
      </c>
      <c r="Y697" s="72"/>
    </row>
    <row r="698">
      <c r="B698" s="1"/>
      <c r="C698" s="1"/>
      <c r="D698" s="1" t="str">
        <f t="shared" si="1"/>
        <v/>
      </c>
      <c r="F698" s="1"/>
      <c r="G698" s="1"/>
      <c r="H698" s="1" t="str">
        <f t="shared" si="2"/>
        <v/>
      </c>
      <c r="J698" s="274"/>
      <c r="K698" s="72"/>
      <c r="L698" s="72"/>
      <c r="M698" s="72"/>
      <c r="N698" s="72"/>
      <c r="O698" s="72"/>
      <c r="P698" s="72"/>
      <c r="Q698" s="72"/>
      <c r="R698" s="72"/>
      <c r="S698" s="72"/>
      <c r="T698" s="72"/>
      <c r="V698" s="72"/>
      <c r="W698" s="72"/>
      <c r="X698" s="72" t="str">
        <f t="shared" si="3"/>
        <v/>
      </c>
      <c r="Y698" s="72"/>
    </row>
    <row r="699">
      <c r="B699" s="1"/>
      <c r="C699" s="1"/>
      <c r="D699" s="1" t="str">
        <f t="shared" si="1"/>
        <v/>
      </c>
      <c r="F699" s="1"/>
      <c r="G699" s="1"/>
      <c r="H699" s="1" t="str">
        <f t="shared" si="2"/>
        <v/>
      </c>
      <c r="J699" s="274"/>
      <c r="K699" s="72"/>
      <c r="L699" s="72"/>
      <c r="M699" s="72"/>
      <c r="N699" s="72"/>
      <c r="O699" s="72"/>
      <c r="P699" s="72"/>
      <c r="Q699" s="72"/>
      <c r="R699" s="72"/>
      <c r="S699" s="72"/>
      <c r="T699" s="72"/>
      <c r="V699" s="72"/>
      <c r="W699" s="72"/>
      <c r="X699" s="72" t="str">
        <f t="shared" si="3"/>
        <v/>
      </c>
      <c r="Y699" s="72"/>
    </row>
    <row r="700">
      <c r="B700" s="1"/>
      <c r="C700" s="1"/>
      <c r="D700" s="1" t="str">
        <f t="shared" si="1"/>
        <v/>
      </c>
      <c r="F700" s="1"/>
      <c r="G700" s="1"/>
      <c r="H700" s="1" t="str">
        <f t="shared" si="2"/>
        <v/>
      </c>
      <c r="J700" s="274"/>
      <c r="K700" s="72"/>
      <c r="L700" s="72"/>
      <c r="M700" s="72"/>
      <c r="N700" s="72"/>
      <c r="O700" s="72"/>
      <c r="P700" s="72"/>
      <c r="Q700" s="72"/>
      <c r="R700" s="72"/>
      <c r="S700" s="72"/>
      <c r="T700" s="72"/>
      <c r="V700" s="72"/>
      <c r="W700" s="72"/>
      <c r="X700" s="72" t="str">
        <f t="shared" si="3"/>
        <v/>
      </c>
      <c r="Y700" s="72"/>
    </row>
    <row r="701">
      <c r="B701" s="1"/>
      <c r="C701" s="1"/>
      <c r="D701" s="1" t="str">
        <f t="shared" si="1"/>
        <v/>
      </c>
      <c r="F701" s="1"/>
      <c r="G701" s="1"/>
      <c r="H701" s="1" t="str">
        <f t="shared" si="2"/>
        <v/>
      </c>
      <c r="J701" s="274"/>
      <c r="K701" s="72"/>
      <c r="L701" s="72"/>
      <c r="M701" s="72"/>
      <c r="N701" s="72"/>
      <c r="O701" s="72"/>
      <c r="P701" s="72"/>
      <c r="Q701" s="72"/>
      <c r="R701" s="72"/>
      <c r="S701" s="72"/>
      <c r="T701" s="72"/>
      <c r="V701" s="72"/>
      <c r="W701" s="72"/>
      <c r="X701" s="72" t="str">
        <f t="shared" si="3"/>
        <v/>
      </c>
      <c r="Y701" s="72"/>
    </row>
    <row r="702">
      <c r="B702" s="1"/>
      <c r="C702" s="1"/>
      <c r="D702" s="1" t="str">
        <f t="shared" si="1"/>
        <v/>
      </c>
      <c r="F702" s="1"/>
      <c r="G702" s="1"/>
      <c r="H702" s="1" t="str">
        <f t="shared" si="2"/>
        <v/>
      </c>
      <c r="J702" s="274"/>
      <c r="K702" s="72"/>
      <c r="L702" s="72"/>
      <c r="M702" s="72"/>
      <c r="N702" s="72"/>
      <c r="O702" s="72"/>
      <c r="P702" s="72"/>
      <c r="Q702" s="72"/>
      <c r="R702" s="72"/>
      <c r="S702" s="72"/>
      <c r="T702" s="72"/>
      <c r="V702" s="72"/>
      <c r="W702" s="72"/>
      <c r="X702" s="72" t="str">
        <f t="shared" si="3"/>
        <v/>
      </c>
      <c r="Y702" s="72"/>
    </row>
    <row r="703">
      <c r="B703" s="1"/>
      <c r="C703" s="1"/>
      <c r="D703" s="1" t="str">
        <f t="shared" si="1"/>
        <v/>
      </c>
      <c r="F703" s="1"/>
      <c r="G703" s="1"/>
      <c r="H703" s="1" t="str">
        <f t="shared" si="2"/>
        <v/>
      </c>
      <c r="J703" s="274"/>
      <c r="K703" s="72"/>
      <c r="L703" s="72"/>
      <c r="M703" s="72"/>
      <c r="N703" s="72"/>
      <c r="O703" s="72"/>
      <c r="P703" s="72"/>
      <c r="Q703" s="72"/>
      <c r="R703" s="72"/>
      <c r="S703" s="72"/>
      <c r="T703" s="72"/>
      <c r="V703" s="72"/>
      <c r="W703" s="72"/>
      <c r="X703" s="72" t="str">
        <f t="shared" si="3"/>
        <v/>
      </c>
      <c r="Y703" s="72"/>
    </row>
    <row r="704">
      <c r="B704" s="1"/>
      <c r="C704" s="1"/>
      <c r="D704" s="1" t="str">
        <f t="shared" si="1"/>
        <v/>
      </c>
      <c r="F704" s="1"/>
      <c r="G704" s="1"/>
      <c r="H704" s="1" t="str">
        <f t="shared" si="2"/>
        <v/>
      </c>
      <c r="J704" s="274"/>
      <c r="K704" s="72"/>
      <c r="L704" s="72"/>
      <c r="M704" s="72"/>
      <c r="N704" s="72"/>
      <c r="O704" s="72"/>
      <c r="P704" s="72"/>
      <c r="Q704" s="72"/>
      <c r="R704" s="72"/>
      <c r="S704" s="72"/>
      <c r="T704" s="72"/>
      <c r="V704" s="72"/>
      <c r="W704" s="72"/>
      <c r="X704" s="72" t="str">
        <f t="shared" si="3"/>
        <v/>
      </c>
      <c r="Y704" s="72"/>
    </row>
    <row r="705">
      <c r="B705" s="1"/>
      <c r="C705" s="1"/>
      <c r="D705" s="1" t="str">
        <f t="shared" si="1"/>
        <v/>
      </c>
      <c r="F705" s="1"/>
      <c r="G705" s="1"/>
      <c r="H705" s="1" t="str">
        <f t="shared" si="2"/>
        <v/>
      </c>
      <c r="J705" s="274"/>
      <c r="K705" s="72"/>
      <c r="L705" s="72"/>
      <c r="M705" s="72"/>
      <c r="N705" s="72"/>
      <c r="O705" s="72"/>
      <c r="P705" s="72"/>
      <c r="Q705" s="72"/>
      <c r="R705" s="72"/>
      <c r="S705" s="72"/>
      <c r="T705" s="72"/>
      <c r="V705" s="72"/>
      <c r="W705" s="72"/>
      <c r="X705" s="72" t="str">
        <f t="shared" si="3"/>
        <v/>
      </c>
      <c r="Y705" s="72"/>
    </row>
    <row r="706">
      <c r="B706" s="1"/>
      <c r="C706" s="1"/>
      <c r="D706" s="1" t="str">
        <f t="shared" si="1"/>
        <v/>
      </c>
      <c r="F706" s="1"/>
      <c r="G706" s="1"/>
      <c r="H706" s="1" t="str">
        <f t="shared" si="2"/>
        <v/>
      </c>
      <c r="J706" s="274"/>
      <c r="K706" s="72"/>
      <c r="L706" s="72"/>
      <c r="M706" s="72"/>
      <c r="N706" s="72"/>
      <c r="O706" s="72"/>
      <c r="P706" s="72"/>
      <c r="Q706" s="72"/>
      <c r="R706" s="72"/>
      <c r="S706" s="72"/>
      <c r="T706" s="72"/>
      <c r="V706" s="72"/>
      <c r="W706" s="72"/>
      <c r="X706" s="72" t="str">
        <f t="shared" si="3"/>
        <v/>
      </c>
      <c r="Y706" s="72"/>
    </row>
    <row r="707">
      <c r="B707" s="1"/>
      <c r="C707" s="1"/>
      <c r="D707" s="1" t="str">
        <f t="shared" si="1"/>
        <v/>
      </c>
      <c r="F707" s="1"/>
      <c r="G707" s="1"/>
      <c r="H707" s="1" t="str">
        <f t="shared" si="2"/>
        <v/>
      </c>
      <c r="J707" s="274"/>
      <c r="K707" s="72"/>
      <c r="L707" s="72"/>
      <c r="M707" s="72"/>
      <c r="N707" s="72"/>
      <c r="O707" s="72"/>
      <c r="P707" s="72"/>
      <c r="Q707" s="72"/>
      <c r="R707" s="72"/>
      <c r="S707" s="72"/>
      <c r="T707" s="72"/>
      <c r="V707" s="72"/>
      <c r="W707" s="72"/>
      <c r="X707" s="72" t="str">
        <f t="shared" si="3"/>
        <v/>
      </c>
      <c r="Y707" s="72"/>
    </row>
    <row r="708">
      <c r="B708" s="1"/>
      <c r="C708" s="1"/>
      <c r="D708" s="1" t="str">
        <f t="shared" si="1"/>
        <v/>
      </c>
      <c r="F708" s="1"/>
      <c r="G708" s="1"/>
      <c r="H708" s="1" t="str">
        <f t="shared" si="2"/>
        <v/>
      </c>
      <c r="J708" s="274"/>
      <c r="K708" s="72"/>
      <c r="L708" s="72"/>
      <c r="M708" s="72"/>
      <c r="N708" s="72"/>
      <c r="O708" s="72"/>
      <c r="P708" s="72"/>
      <c r="Q708" s="72"/>
      <c r="R708" s="72"/>
      <c r="S708" s="72"/>
      <c r="T708" s="72"/>
      <c r="V708" s="72"/>
      <c r="W708" s="72"/>
      <c r="X708" s="72" t="str">
        <f t="shared" si="3"/>
        <v/>
      </c>
      <c r="Y708" s="72"/>
    </row>
    <row r="709">
      <c r="B709" s="1"/>
      <c r="C709" s="1"/>
      <c r="D709" s="1" t="str">
        <f t="shared" si="1"/>
        <v/>
      </c>
      <c r="F709" s="1"/>
      <c r="G709" s="1"/>
      <c r="H709" s="1" t="str">
        <f t="shared" si="2"/>
        <v/>
      </c>
      <c r="J709" s="274"/>
      <c r="K709" s="72"/>
      <c r="L709" s="72"/>
      <c r="M709" s="72"/>
      <c r="N709" s="72"/>
      <c r="O709" s="72"/>
      <c r="P709" s="72"/>
      <c r="Q709" s="72"/>
      <c r="R709" s="72"/>
      <c r="S709" s="72"/>
      <c r="T709" s="72"/>
      <c r="V709" s="72"/>
      <c r="W709" s="72"/>
      <c r="X709" s="72" t="str">
        <f t="shared" si="3"/>
        <v/>
      </c>
      <c r="Y709" s="72"/>
    </row>
    <row r="710">
      <c r="B710" s="1"/>
      <c r="C710" s="1"/>
      <c r="D710" s="1" t="str">
        <f t="shared" si="1"/>
        <v/>
      </c>
      <c r="F710" s="1"/>
      <c r="G710" s="1"/>
      <c r="H710" s="1" t="str">
        <f t="shared" si="2"/>
        <v/>
      </c>
      <c r="J710" s="274"/>
      <c r="K710" s="72"/>
      <c r="L710" s="72"/>
      <c r="M710" s="72"/>
      <c r="N710" s="72"/>
      <c r="O710" s="72"/>
      <c r="P710" s="72"/>
      <c r="Q710" s="72"/>
      <c r="R710" s="72"/>
      <c r="S710" s="72"/>
      <c r="T710" s="72"/>
      <c r="V710" s="72"/>
      <c r="W710" s="72"/>
      <c r="X710" s="72" t="str">
        <f t="shared" si="3"/>
        <v/>
      </c>
      <c r="Y710" s="72"/>
    </row>
    <row r="711">
      <c r="B711" s="1"/>
      <c r="C711" s="1"/>
      <c r="D711" s="1" t="str">
        <f t="shared" si="1"/>
        <v/>
      </c>
      <c r="F711" s="1"/>
      <c r="G711" s="1"/>
      <c r="H711" s="1" t="str">
        <f t="shared" si="2"/>
        <v/>
      </c>
      <c r="J711" s="274"/>
      <c r="K711" s="72"/>
      <c r="L711" s="72"/>
      <c r="M711" s="72"/>
      <c r="N711" s="72"/>
      <c r="O711" s="72"/>
      <c r="P711" s="72"/>
      <c r="Q711" s="72"/>
      <c r="R711" s="72"/>
      <c r="S711" s="72"/>
      <c r="T711" s="72"/>
      <c r="V711" s="72"/>
      <c r="W711" s="72"/>
      <c r="X711" s="72" t="str">
        <f t="shared" si="3"/>
        <v/>
      </c>
      <c r="Y711" s="72"/>
    </row>
    <row r="712">
      <c r="B712" s="1"/>
      <c r="C712" s="1"/>
      <c r="D712" s="1" t="str">
        <f t="shared" si="1"/>
        <v/>
      </c>
      <c r="F712" s="1"/>
      <c r="G712" s="1"/>
      <c r="H712" s="1" t="str">
        <f t="shared" si="2"/>
        <v/>
      </c>
      <c r="J712" s="274"/>
      <c r="K712" s="72"/>
      <c r="L712" s="72"/>
      <c r="M712" s="72"/>
      <c r="N712" s="72"/>
      <c r="O712" s="72"/>
      <c r="P712" s="72"/>
      <c r="Q712" s="72"/>
      <c r="R712" s="72"/>
      <c r="S712" s="72"/>
      <c r="T712" s="72"/>
      <c r="V712" s="72"/>
      <c r="W712" s="72"/>
      <c r="X712" s="72" t="str">
        <f t="shared" si="3"/>
        <v/>
      </c>
      <c r="Y712" s="72"/>
    </row>
    <row r="713">
      <c r="B713" s="1"/>
      <c r="C713" s="1"/>
      <c r="D713" s="1" t="str">
        <f t="shared" si="1"/>
        <v/>
      </c>
      <c r="F713" s="1"/>
      <c r="G713" s="1"/>
      <c r="H713" s="1" t="str">
        <f t="shared" si="2"/>
        <v/>
      </c>
      <c r="J713" s="274"/>
      <c r="K713" s="72"/>
      <c r="L713" s="72"/>
      <c r="M713" s="72"/>
      <c r="N713" s="72"/>
      <c r="O713" s="72"/>
      <c r="P713" s="72"/>
      <c r="Q713" s="72"/>
      <c r="R713" s="72"/>
      <c r="S713" s="72"/>
      <c r="T713" s="72"/>
      <c r="V713" s="72"/>
      <c r="W713" s="72"/>
      <c r="X713" s="72" t="str">
        <f t="shared" si="3"/>
        <v/>
      </c>
      <c r="Y713" s="72"/>
    </row>
    <row r="714">
      <c r="B714" s="1"/>
      <c r="C714" s="1"/>
      <c r="D714" s="1" t="str">
        <f t="shared" si="1"/>
        <v/>
      </c>
      <c r="F714" s="1"/>
      <c r="G714" s="1"/>
      <c r="H714" s="1" t="str">
        <f t="shared" si="2"/>
        <v/>
      </c>
      <c r="J714" s="274"/>
      <c r="K714" s="72"/>
      <c r="L714" s="72"/>
      <c r="M714" s="72"/>
      <c r="N714" s="72"/>
      <c r="O714" s="72"/>
      <c r="P714" s="72"/>
      <c r="Q714" s="72"/>
      <c r="R714" s="72"/>
      <c r="S714" s="72"/>
      <c r="T714" s="72"/>
      <c r="V714" s="72"/>
      <c r="W714" s="72"/>
      <c r="X714" s="72" t="str">
        <f t="shared" si="3"/>
        <v/>
      </c>
      <c r="Y714" s="72"/>
    </row>
    <row r="715">
      <c r="B715" s="1"/>
      <c r="C715" s="1"/>
      <c r="D715" s="1" t="str">
        <f t="shared" si="1"/>
        <v/>
      </c>
      <c r="F715" s="1"/>
      <c r="G715" s="1"/>
      <c r="H715" s="1" t="str">
        <f t="shared" si="2"/>
        <v/>
      </c>
      <c r="J715" s="274"/>
      <c r="K715" s="72"/>
      <c r="L715" s="72"/>
      <c r="M715" s="72"/>
      <c r="N715" s="72"/>
      <c r="O715" s="72"/>
      <c r="P715" s="72"/>
      <c r="Q715" s="72"/>
      <c r="R715" s="72"/>
      <c r="S715" s="72"/>
      <c r="T715" s="72"/>
      <c r="V715" s="72"/>
      <c r="W715" s="72"/>
      <c r="X715" s="72" t="str">
        <f t="shared" si="3"/>
        <v/>
      </c>
      <c r="Y715" s="72"/>
    </row>
    <row r="716">
      <c r="B716" s="1"/>
      <c r="C716" s="1"/>
      <c r="D716" s="1" t="str">
        <f t="shared" si="1"/>
        <v/>
      </c>
      <c r="F716" s="1"/>
      <c r="G716" s="1"/>
      <c r="H716" s="1" t="str">
        <f t="shared" si="2"/>
        <v/>
      </c>
      <c r="J716" s="274"/>
      <c r="K716" s="72"/>
      <c r="L716" s="72"/>
      <c r="M716" s="72"/>
      <c r="N716" s="72"/>
      <c r="O716" s="72"/>
      <c r="P716" s="72"/>
      <c r="Q716" s="72"/>
      <c r="R716" s="72"/>
      <c r="S716" s="72"/>
      <c r="T716" s="72"/>
      <c r="V716" s="72"/>
      <c r="W716" s="72"/>
      <c r="X716" s="72" t="str">
        <f t="shared" si="3"/>
        <v/>
      </c>
      <c r="Y716" s="72"/>
    </row>
    <row r="717">
      <c r="B717" s="1"/>
      <c r="C717" s="1"/>
      <c r="D717" s="1" t="str">
        <f t="shared" si="1"/>
        <v/>
      </c>
      <c r="F717" s="1"/>
      <c r="G717" s="1"/>
      <c r="H717" s="1" t="str">
        <f t="shared" si="2"/>
        <v/>
      </c>
      <c r="J717" s="274"/>
      <c r="K717" s="72"/>
      <c r="L717" s="72"/>
      <c r="M717" s="72"/>
      <c r="N717" s="72"/>
      <c r="O717" s="72"/>
      <c r="P717" s="72"/>
      <c r="Q717" s="72"/>
      <c r="R717" s="72"/>
      <c r="S717" s="72"/>
      <c r="T717" s="72"/>
      <c r="V717" s="72"/>
      <c r="W717" s="72"/>
      <c r="X717" s="72" t="str">
        <f t="shared" si="3"/>
        <v/>
      </c>
      <c r="Y717" s="72"/>
    </row>
    <row r="718">
      <c r="B718" s="1"/>
      <c r="C718" s="1"/>
      <c r="D718" s="1" t="str">
        <f t="shared" si="1"/>
        <v/>
      </c>
      <c r="F718" s="1"/>
      <c r="G718" s="1"/>
      <c r="H718" s="1" t="str">
        <f t="shared" si="2"/>
        <v/>
      </c>
      <c r="J718" s="274"/>
      <c r="K718" s="72"/>
      <c r="L718" s="72"/>
      <c r="M718" s="72"/>
      <c r="N718" s="72"/>
      <c r="O718" s="72"/>
      <c r="P718" s="72"/>
      <c r="Q718" s="72"/>
      <c r="R718" s="72"/>
      <c r="S718" s="72"/>
      <c r="T718" s="72"/>
      <c r="V718" s="72"/>
      <c r="W718" s="72"/>
      <c r="X718" s="72" t="str">
        <f t="shared" si="3"/>
        <v/>
      </c>
      <c r="Y718" s="72"/>
    </row>
    <row r="719">
      <c r="B719" s="1"/>
      <c r="C719" s="1"/>
      <c r="D719" s="1" t="str">
        <f t="shared" si="1"/>
        <v/>
      </c>
      <c r="F719" s="1"/>
      <c r="G719" s="1"/>
      <c r="H719" s="1" t="str">
        <f t="shared" si="2"/>
        <v/>
      </c>
      <c r="J719" s="274"/>
      <c r="K719" s="72"/>
      <c r="L719" s="72"/>
      <c r="M719" s="72"/>
      <c r="N719" s="72"/>
      <c r="O719" s="72"/>
      <c r="P719" s="72"/>
      <c r="Q719" s="72"/>
      <c r="R719" s="72"/>
      <c r="S719" s="72"/>
      <c r="T719" s="72"/>
      <c r="V719" s="72"/>
      <c r="W719" s="72"/>
      <c r="X719" s="72" t="str">
        <f t="shared" si="3"/>
        <v/>
      </c>
      <c r="Y719" s="72"/>
    </row>
    <row r="720">
      <c r="B720" s="1"/>
      <c r="C720" s="1"/>
      <c r="D720" s="1" t="str">
        <f t="shared" si="1"/>
        <v/>
      </c>
      <c r="F720" s="1"/>
      <c r="G720" s="1"/>
      <c r="H720" s="1" t="str">
        <f t="shared" si="2"/>
        <v/>
      </c>
      <c r="J720" s="274"/>
      <c r="K720" s="72"/>
      <c r="L720" s="72"/>
      <c r="M720" s="72"/>
      <c r="N720" s="72"/>
      <c r="O720" s="72"/>
      <c r="P720" s="72"/>
      <c r="Q720" s="72"/>
      <c r="R720" s="72"/>
      <c r="S720" s="72"/>
      <c r="T720" s="72"/>
      <c r="V720" s="72"/>
      <c r="W720" s="72"/>
      <c r="X720" s="72" t="str">
        <f t="shared" si="3"/>
        <v/>
      </c>
      <c r="Y720" s="72"/>
    </row>
    <row r="721">
      <c r="B721" s="1"/>
      <c r="C721" s="1"/>
      <c r="D721" s="1" t="str">
        <f t="shared" si="1"/>
        <v/>
      </c>
      <c r="F721" s="1"/>
      <c r="G721" s="1"/>
      <c r="H721" s="1" t="str">
        <f t="shared" si="2"/>
        <v/>
      </c>
      <c r="J721" s="274"/>
      <c r="K721" s="72"/>
      <c r="L721" s="72"/>
      <c r="M721" s="72"/>
      <c r="N721" s="72"/>
      <c r="O721" s="72"/>
      <c r="P721" s="72"/>
      <c r="Q721" s="72"/>
      <c r="R721" s="72"/>
      <c r="S721" s="72"/>
      <c r="T721" s="72"/>
      <c r="V721" s="72"/>
      <c r="W721" s="72"/>
      <c r="X721" s="72" t="str">
        <f t="shared" si="3"/>
        <v/>
      </c>
      <c r="Y721" s="72"/>
    </row>
    <row r="722">
      <c r="B722" s="1"/>
      <c r="C722" s="1"/>
      <c r="D722" s="1" t="str">
        <f t="shared" si="1"/>
        <v/>
      </c>
      <c r="F722" s="1"/>
      <c r="G722" s="1"/>
      <c r="H722" s="1" t="str">
        <f t="shared" si="2"/>
        <v/>
      </c>
      <c r="J722" s="274"/>
      <c r="K722" s="72"/>
      <c r="L722" s="72"/>
      <c r="M722" s="72"/>
      <c r="N722" s="72"/>
      <c r="O722" s="72"/>
      <c r="P722" s="72"/>
      <c r="Q722" s="72"/>
      <c r="R722" s="72"/>
      <c r="S722" s="72"/>
      <c r="T722" s="72"/>
      <c r="V722" s="72"/>
      <c r="W722" s="72"/>
      <c r="X722" s="72" t="str">
        <f t="shared" si="3"/>
        <v/>
      </c>
      <c r="Y722" s="72"/>
    </row>
    <row r="723">
      <c r="B723" s="1"/>
      <c r="C723" s="1"/>
      <c r="D723" s="1" t="str">
        <f t="shared" si="1"/>
        <v/>
      </c>
      <c r="F723" s="1"/>
      <c r="G723" s="1"/>
      <c r="H723" s="1" t="str">
        <f t="shared" si="2"/>
        <v/>
      </c>
      <c r="J723" s="274"/>
      <c r="K723" s="72"/>
      <c r="L723" s="72"/>
      <c r="M723" s="72"/>
      <c r="N723" s="72"/>
      <c r="O723" s="72"/>
      <c r="P723" s="72"/>
      <c r="Q723" s="72"/>
      <c r="R723" s="72"/>
      <c r="S723" s="72"/>
      <c r="T723" s="72"/>
      <c r="V723" s="72"/>
      <c r="W723" s="72"/>
      <c r="X723" s="72" t="str">
        <f t="shared" si="3"/>
        <v/>
      </c>
      <c r="Y723" s="72"/>
    </row>
    <row r="724">
      <c r="B724" s="1"/>
      <c r="C724" s="1"/>
      <c r="D724" s="1" t="str">
        <f t="shared" si="1"/>
        <v/>
      </c>
      <c r="F724" s="1"/>
      <c r="G724" s="1"/>
      <c r="H724" s="1" t="str">
        <f t="shared" si="2"/>
        <v/>
      </c>
      <c r="J724" s="274"/>
      <c r="K724" s="72"/>
      <c r="L724" s="72"/>
      <c r="M724" s="72"/>
      <c r="N724" s="72"/>
      <c r="O724" s="72"/>
      <c r="P724" s="72"/>
      <c r="Q724" s="72"/>
      <c r="R724" s="72"/>
      <c r="S724" s="72"/>
      <c r="T724" s="72"/>
      <c r="V724" s="72"/>
      <c r="W724" s="72"/>
      <c r="X724" s="72" t="str">
        <f t="shared" si="3"/>
        <v/>
      </c>
      <c r="Y724" s="72"/>
    </row>
    <row r="725">
      <c r="B725" s="1"/>
      <c r="C725" s="1"/>
      <c r="D725" s="1" t="str">
        <f t="shared" si="1"/>
        <v/>
      </c>
      <c r="F725" s="1"/>
      <c r="G725" s="1"/>
      <c r="H725" s="1" t="str">
        <f t="shared" si="2"/>
        <v/>
      </c>
      <c r="J725" s="274"/>
      <c r="K725" s="72"/>
      <c r="L725" s="72"/>
      <c r="M725" s="72"/>
      <c r="N725" s="72"/>
      <c r="O725" s="72"/>
      <c r="P725" s="72"/>
      <c r="Q725" s="72"/>
      <c r="R725" s="72"/>
      <c r="S725" s="72"/>
      <c r="T725" s="72"/>
      <c r="V725" s="72"/>
      <c r="W725" s="72"/>
      <c r="X725" s="72" t="str">
        <f t="shared" si="3"/>
        <v/>
      </c>
      <c r="Y725" s="72"/>
    </row>
    <row r="726">
      <c r="B726" s="1"/>
      <c r="C726" s="1"/>
      <c r="D726" s="1" t="str">
        <f t="shared" si="1"/>
        <v/>
      </c>
      <c r="F726" s="1"/>
      <c r="G726" s="1"/>
      <c r="H726" s="1" t="str">
        <f t="shared" si="2"/>
        <v/>
      </c>
      <c r="J726" s="274"/>
      <c r="K726" s="72"/>
      <c r="L726" s="72"/>
      <c r="M726" s="72"/>
      <c r="N726" s="72"/>
      <c r="O726" s="72"/>
      <c r="P726" s="72"/>
      <c r="Q726" s="72"/>
      <c r="R726" s="72"/>
      <c r="S726" s="72"/>
      <c r="T726" s="72"/>
      <c r="V726" s="72"/>
      <c r="W726" s="72"/>
      <c r="X726" s="72" t="str">
        <f t="shared" si="3"/>
        <v/>
      </c>
      <c r="Y726" s="72"/>
    </row>
    <row r="727">
      <c r="B727" s="1"/>
      <c r="C727" s="1"/>
      <c r="D727" s="1" t="str">
        <f t="shared" si="1"/>
        <v/>
      </c>
      <c r="F727" s="1"/>
      <c r="G727" s="1"/>
      <c r="H727" s="1" t="str">
        <f t="shared" si="2"/>
        <v/>
      </c>
      <c r="J727" s="274"/>
      <c r="K727" s="72"/>
      <c r="L727" s="72"/>
      <c r="M727" s="72"/>
      <c r="N727" s="72"/>
      <c r="O727" s="72"/>
      <c r="P727" s="72"/>
      <c r="Q727" s="72"/>
      <c r="R727" s="72"/>
      <c r="S727" s="72"/>
      <c r="T727" s="72"/>
      <c r="V727" s="72"/>
      <c r="W727" s="72"/>
      <c r="X727" s="72" t="str">
        <f t="shared" si="3"/>
        <v/>
      </c>
      <c r="Y727" s="72"/>
    </row>
    <row r="728">
      <c r="B728" s="1"/>
      <c r="C728" s="1"/>
      <c r="D728" s="1" t="str">
        <f t="shared" si="1"/>
        <v/>
      </c>
      <c r="F728" s="1"/>
      <c r="G728" s="1"/>
      <c r="H728" s="1" t="str">
        <f t="shared" si="2"/>
        <v/>
      </c>
      <c r="J728" s="274"/>
      <c r="K728" s="72"/>
      <c r="L728" s="72"/>
      <c r="M728" s="72"/>
      <c r="N728" s="72"/>
      <c r="O728" s="72"/>
      <c r="P728" s="72"/>
      <c r="Q728" s="72"/>
      <c r="R728" s="72"/>
      <c r="S728" s="72"/>
      <c r="T728" s="72"/>
      <c r="V728" s="72"/>
      <c r="W728" s="72"/>
      <c r="X728" s="72" t="str">
        <f t="shared" si="3"/>
        <v/>
      </c>
      <c r="Y728" s="72"/>
    </row>
    <row r="729">
      <c r="B729" s="1"/>
      <c r="C729" s="1"/>
      <c r="D729" s="1" t="str">
        <f t="shared" si="1"/>
        <v/>
      </c>
      <c r="F729" s="1"/>
      <c r="G729" s="1"/>
      <c r="H729" s="1" t="str">
        <f t="shared" si="2"/>
        <v/>
      </c>
      <c r="J729" s="274"/>
      <c r="K729" s="72"/>
      <c r="L729" s="72"/>
      <c r="M729" s="72"/>
      <c r="N729" s="72"/>
      <c r="O729" s="72"/>
      <c r="P729" s="72"/>
      <c r="Q729" s="72"/>
      <c r="R729" s="72"/>
      <c r="S729" s="72"/>
      <c r="T729" s="72"/>
      <c r="V729" s="72"/>
      <c r="W729" s="72"/>
      <c r="X729" s="72" t="str">
        <f t="shared" si="3"/>
        <v/>
      </c>
      <c r="Y729" s="72"/>
    </row>
    <row r="730">
      <c r="B730" s="1"/>
      <c r="C730" s="1"/>
      <c r="D730" s="1" t="str">
        <f t="shared" si="1"/>
        <v/>
      </c>
      <c r="F730" s="1"/>
      <c r="G730" s="1"/>
      <c r="H730" s="1" t="str">
        <f t="shared" si="2"/>
        <v/>
      </c>
      <c r="J730" s="274"/>
      <c r="K730" s="72"/>
      <c r="L730" s="72"/>
      <c r="M730" s="72"/>
      <c r="N730" s="72"/>
      <c r="O730" s="72"/>
      <c r="P730" s="72"/>
      <c r="Q730" s="72"/>
      <c r="R730" s="72"/>
      <c r="S730" s="72"/>
      <c r="T730" s="72"/>
      <c r="V730" s="72"/>
      <c r="W730" s="72"/>
      <c r="X730" s="72" t="str">
        <f t="shared" si="3"/>
        <v/>
      </c>
      <c r="Y730" s="72"/>
    </row>
    <row r="731">
      <c r="B731" s="1"/>
      <c r="C731" s="1"/>
      <c r="D731" s="1" t="str">
        <f t="shared" si="1"/>
        <v/>
      </c>
      <c r="F731" s="1"/>
      <c r="G731" s="1"/>
      <c r="H731" s="1" t="str">
        <f t="shared" si="2"/>
        <v/>
      </c>
      <c r="J731" s="274"/>
      <c r="K731" s="72"/>
      <c r="L731" s="72"/>
      <c r="M731" s="72"/>
      <c r="N731" s="72"/>
      <c r="O731" s="72"/>
      <c r="P731" s="72"/>
      <c r="Q731" s="72"/>
      <c r="R731" s="72"/>
      <c r="S731" s="72"/>
      <c r="T731" s="72"/>
      <c r="V731" s="72"/>
      <c r="W731" s="72"/>
      <c r="X731" s="72" t="str">
        <f t="shared" si="3"/>
        <v/>
      </c>
      <c r="Y731" s="72"/>
    </row>
    <row r="732">
      <c r="B732" s="1"/>
      <c r="C732" s="1"/>
      <c r="D732" s="1" t="str">
        <f t="shared" si="1"/>
        <v/>
      </c>
      <c r="F732" s="1"/>
      <c r="G732" s="1"/>
      <c r="H732" s="1" t="str">
        <f t="shared" si="2"/>
        <v/>
      </c>
      <c r="J732" s="274"/>
      <c r="K732" s="72"/>
      <c r="L732" s="72"/>
      <c r="M732" s="72"/>
      <c r="N732" s="72"/>
      <c r="O732" s="72"/>
      <c r="P732" s="72"/>
      <c r="Q732" s="72"/>
      <c r="R732" s="72"/>
      <c r="S732" s="72"/>
      <c r="T732" s="72"/>
      <c r="V732" s="72"/>
      <c r="W732" s="72"/>
      <c r="X732" s="72" t="str">
        <f t="shared" si="3"/>
        <v/>
      </c>
      <c r="Y732" s="72"/>
    </row>
    <row r="733">
      <c r="B733" s="1"/>
      <c r="C733" s="1"/>
      <c r="D733" s="1" t="str">
        <f t="shared" si="1"/>
        <v/>
      </c>
      <c r="F733" s="1"/>
      <c r="G733" s="1"/>
      <c r="H733" s="1" t="str">
        <f t="shared" si="2"/>
        <v/>
      </c>
      <c r="J733" s="274"/>
      <c r="K733" s="72"/>
      <c r="L733" s="72"/>
      <c r="M733" s="72"/>
      <c r="N733" s="72"/>
      <c r="O733" s="72"/>
      <c r="P733" s="72"/>
      <c r="Q733" s="72"/>
      <c r="R733" s="72"/>
      <c r="S733" s="72"/>
      <c r="T733" s="72"/>
      <c r="V733" s="72"/>
      <c r="W733" s="72"/>
      <c r="X733" s="72" t="str">
        <f t="shared" si="3"/>
        <v/>
      </c>
      <c r="Y733" s="72"/>
    </row>
    <row r="734">
      <c r="B734" s="1"/>
      <c r="C734" s="1"/>
      <c r="D734" s="1" t="str">
        <f t="shared" si="1"/>
        <v/>
      </c>
      <c r="F734" s="1"/>
      <c r="G734" s="1"/>
      <c r="H734" s="1" t="str">
        <f t="shared" si="2"/>
        <v/>
      </c>
      <c r="J734" s="274"/>
      <c r="K734" s="72"/>
      <c r="L734" s="72"/>
      <c r="M734" s="72"/>
      <c r="N734" s="72"/>
      <c r="O734" s="72"/>
      <c r="P734" s="72"/>
      <c r="Q734" s="72"/>
      <c r="R734" s="72"/>
      <c r="S734" s="72"/>
      <c r="T734" s="72"/>
      <c r="V734" s="72"/>
      <c r="W734" s="72"/>
      <c r="X734" s="72" t="str">
        <f t="shared" si="3"/>
        <v/>
      </c>
      <c r="Y734" s="72"/>
    </row>
    <row r="735">
      <c r="B735" s="1"/>
      <c r="C735" s="1"/>
      <c r="D735" s="1" t="str">
        <f t="shared" si="1"/>
        <v/>
      </c>
      <c r="F735" s="1"/>
      <c r="G735" s="1"/>
      <c r="H735" s="1" t="str">
        <f t="shared" si="2"/>
        <v/>
      </c>
      <c r="J735" s="274"/>
      <c r="K735" s="72"/>
      <c r="L735" s="72"/>
      <c r="M735" s="72"/>
      <c r="N735" s="72"/>
      <c r="O735" s="72"/>
      <c r="P735" s="72"/>
      <c r="Q735" s="72"/>
      <c r="R735" s="72"/>
      <c r="S735" s="72"/>
      <c r="T735" s="72"/>
      <c r="V735" s="72"/>
      <c r="W735" s="72"/>
      <c r="X735" s="72" t="str">
        <f t="shared" si="3"/>
        <v/>
      </c>
      <c r="Y735" s="72"/>
    </row>
    <row r="736">
      <c r="B736" s="1"/>
      <c r="C736" s="1"/>
      <c r="D736" s="1" t="str">
        <f t="shared" si="1"/>
        <v/>
      </c>
      <c r="F736" s="1"/>
      <c r="G736" s="1"/>
      <c r="H736" s="1" t="str">
        <f t="shared" si="2"/>
        <v/>
      </c>
      <c r="J736" s="274"/>
      <c r="K736" s="72"/>
      <c r="L736" s="72"/>
      <c r="M736" s="72"/>
      <c r="N736" s="72"/>
      <c r="O736" s="72"/>
      <c r="P736" s="72"/>
      <c r="Q736" s="72"/>
      <c r="R736" s="72"/>
      <c r="S736" s="72"/>
      <c r="T736" s="72"/>
      <c r="V736" s="72"/>
      <c r="W736" s="72"/>
      <c r="X736" s="72" t="str">
        <f t="shared" si="3"/>
        <v/>
      </c>
      <c r="Y736" s="72"/>
    </row>
    <row r="737">
      <c r="B737" s="1"/>
      <c r="C737" s="1"/>
      <c r="D737" s="1" t="str">
        <f t="shared" si="1"/>
        <v/>
      </c>
      <c r="F737" s="1"/>
      <c r="G737" s="1"/>
      <c r="H737" s="1" t="str">
        <f t="shared" si="2"/>
        <v/>
      </c>
      <c r="J737" s="274"/>
      <c r="K737" s="72"/>
      <c r="L737" s="72"/>
      <c r="M737" s="72"/>
      <c r="N737" s="72"/>
      <c r="O737" s="72"/>
      <c r="P737" s="72"/>
      <c r="Q737" s="72"/>
      <c r="R737" s="72"/>
      <c r="S737" s="72"/>
      <c r="T737" s="72"/>
      <c r="V737" s="72"/>
      <c r="W737" s="72"/>
      <c r="X737" s="72" t="str">
        <f t="shared" si="3"/>
        <v/>
      </c>
      <c r="Y737" s="72"/>
    </row>
    <row r="738">
      <c r="B738" s="1"/>
      <c r="C738" s="1"/>
      <c r="D738" s="1" t="str">
        <f t="shared" si="1"/>
        <v/>
      </c>
      <c r="F738" s="1"/>
      <c r="G738" s="1"/>
      <c r="H738" s="1" t="str">
        <f t="shared" si="2"/>
        <v/>
      </c>
      <c r="J738" s="274"/>
      <c r="K738" s="72"/>
      <c r="L738" s="72"/>
      <c r="M738" s="72"/>
      <c r="N738" s="72"/>
      <c r="O738" s="72"/>
      <c r="P738" s="72"/>
      <c r="Q738" s="72"/>
      <c r="R738" s="72"/>
      <c r="S738" s="72"/>
      <c r="T738" s="72"/>
      <c r="V738" s="72"/>
      <c r="W738" s="72"/>
      <c r="X738" s="72" t="str">
        <f t="shared" si="3"/>
        <v/>
      </c>
      <c r="Y738" s="72"/>
    </row>
    <row r="739">
      <c r="B739" s="1"/>
      <c r="C739" s="1"/>
      <c r="D739" s="1" t="str">
        <f t="shared" si="1"/>
        <v/>
      </c>
      <c r="F739" s="1"/>
      <c r="G739" s="1"/>
      <c r="H739" s="1" t="str">
        <f t="shared" si="2"/>
        <v/>
      </c>
      <c r="J739" s="274"/>
      <c r="K739" s="72"/>
      <c r="L739" s="72"/>
      <c r="M739" s="72"/>
      <c r="N739" s="72"/>
      <c r="O739" s="72"/>
      <c r="P739" s="72"/>
      <c r="Q739" s="72"/>
      <c r="R739" s="72"/>
      <c r="S739" s="72"/>
      <c r="T739" s="72"/>
      <c r="V739" s="72"/>
      <c r="W739" s="72"/>
      <c r="X739" s="72" t="str">
        <f t="shared" si="3"/>
        <v/>
      </c>
      <c r="Y739" s="72"/>
    </row>
    <row r="740">
      <c r="B740" s="1"/>
      <c r="C740" s="1"/>
      <c r="D740" s="1" t="str">
        <f t="shared" si="1"/>
        <v/>
      </c>
      <c r="F740" s="1"/>
      <c r="G740" s="1"/>
      <c r="H740" s="1" t="str">
        <f t="shared" si="2"/>
        <v/>
      </c>
      <c r="J740" s="274"/>
      <c r="K740" s="72"/>
      <c r="L740" s="72"/>
      <c r="M740" s="72"/>
      <c r="N740" s="72"/>
      <c r="O740" s="72"/>
      <c r="P740" s="72"/>
      <c r="Q740" s="72"/>
      <c r="R740" s="72"/>
      <c r="S740" s="72"/>
      <c r="T740" s="72"/>
      <c r="V740" s="72"/>
      <c r="W740" s="72"/>
      <c r="X740" s="72" t="str">
        <f t="shared" si="3"/>
        <v/>
      </c>
      <c r="Y740" s="72"/>
    </row>
    <row r="741">
      <c r="B741" s="1"/>
      <c r="C741" s="1"/>
      <c r="D741" s="1" t="str">
        <f t="shared" si="1"/>
        <v/>
      </c>
      <c r="F741" s="1"/>
      <c r="G741" s="1"/>
      <c r="H741" s="1" t="str">
        <f t="shared" si="2"/>
        <v/>
      </c>
      <c r="J741" s="274"/>
      <c r="K741" s="72"/>
      <c r="L741" s="72"/>
      <c r="M741" s="72"/>
      <c r="N741" s="72"/>
      <c r="O741" s="72"/>
      <c r="P741" s="72"/>
      <c r="Q741" s="72"/>
      <c r="R741" s="72"/>
      <c r="S741" s="72"/>
      <c r="T741" s="72"/>
      <c r="V741" s="72"/>
      <c r="W741" s="72"/>
      <c r="X741" s="72" t="str">
        <f t="shared" si="3"/>
        <v/>
      </c>
      <c r="Y741" s="72"/>
    </row>
    <row r="742">
      <c r="B742" s="1"/>
      <c r="C742" s="1"/>
      <c r="D742" s="1" t="str">
        <f t="shared" si="1"/>
        <v/>
      </c>
      <c r="F742" s="1"/>
      <c r="G742" s="1"/>
      <c r="H742" s="1" t="str">
        <f t="shared" si="2"/>
        <v/>
      </c>
      <c r="J742" s="274"/>
      <c r="K742" s="72"/>
      <c r="L742" s="72"/>
      <c r="M742" s="72"/>
      <c r="N742" s="72"/>
      <c r="O742" s="72"/>
      <c r="P742" s="72"/>
      <c r="Q742" s="72"/>
      <c r="R742" s="72"/>
      <c r="S742" s="72"/>
      <c r="T742" s="72"/>
      <c r="V742" s="72"/>
      <c r="W742" s="72"/>
      <c r="X742" s="72" t="str">
        <f t="shared" si="3"/>
        <v/>
      </c>
      <c r="Y742" s="72"/>
    </row>
    <row r="743">
      <c r="B743" s="1"/>
      <c r="C743" s="1"/>
      <c r="D743" s="1" t="str">
        <f t="shared" si="1"/>
        <v/>
      </c>
      <c r="F743" s="1"/>
      <c r="G743" s="1"/>
      <c r="H743" s="1" t="str">
        <f t="shared" si="2"/>
        <v/>
      </c>
      <c r="J743" s="274"/>
      <c r="K743" s="72"/>
      <c r="L743" s="72"/>
      <c r="M743" s="72"/>
      <c r="N743" s="72"/>
      <c r="O743" s="72"/>
      <c r="P743" s="72"/>
      <c r="Q743" s="72"/>
      <c r="R743" s="72"/>
      <c r="S743" s="72"/>
      <c r="T743" s="72"/>
      <c r="V743" s="72"/>
      <c r="W743" s="72"/>
      <c r="X743" s="72" t="str">
        <f t="shared" si="3"/>
        <v/>
      </c>
      <c r="Y743" s="72"/>
    </row>
    <row r="744">
      <c r="B744" s="1"/>
      <c r="C744" s="1"/>
      <c r="D744" s="1" t="str">
        <f t="shared" si="1"/>
        <v/>
      </c>
      <c r="F744" s="1"/>
      <c r="G744" s="1"/>
      <c r="H744" s="1" t="str">
        <f t="shared" si="2"/>
        <v/>
      </c>
      <c r="J744" s="274"/>
      <c r="K744" s="72"/>
      <c r="L744" s="72"/>
      <c r="M744" s="72"/>
      <c r="N744" s="72"/>
      <c r="O744" s="72"/>
      <c r="P744" s="72"/>
      <c r="Q744" s="72"/>
      <c r="R744" s="72"/>
      <c r="S744" s="72"/>
      <c r="T744" s="72"/>
      <c r="V744" s="72"/>
      <c r="W744" s="72"/>
      <c r="X744" s="72" t="str">
        <f t="shared" si="3"/>
        <v/>
      </c>
      <c r="Y744" s="72"/>
    </row>
    <row r="745">
      <c r="B745" s="1"/>
      <c r="C745" s="1"/>
      <c r="D745" s="1" t="str">
        <f t="shared" si="1"/>
        <v/>
      </c>
      <c r="F745" s="1"/>
      <c r="G745" s="1"/>
      <c r="H745" s="1" t="str">
        <f t="shared" si="2"/>
        <v/>
      </c>
      <c r="J745" s="274"/>
      <c r="K745" s="72"/>
      <c r="L745" s="72"/>
      <c r="M745" s="72"/>
      <c r="N745" s="72"/>
      <c r="O745" s="72"/>
      <c r="P745" s="72"/>
      <c r="Q745" s="72"/>
      <c r="R745" s="72"/>
      <c r="S745" s="72"/>
      <c r="T745" s="72"/>
      <c r="V745" s="72"/>
      <c r="W745" s="72"/>
      <c r="X745" s="72" t="str">
        <f t="shared" si="3"/>
        <v/>
      </c>
      <c r="Y745" s="72"/>
    </row>
    <row r="746">
      <c r="B746" s="1"/>
      <c r="C746" s="1"/>
      <c r="D746" s="1" t="str">
        <f t="shared" si="1"/>
        <v/>
      </c>
      <c r="F746" s="1"/>
      <c r="G746" s="1"/>
      <c r="H746" s="1" t="str">
        <f t="shared" si="2"/>
        <v/>
      </c>
      <c r="J746" s="274"/>
      <c r="K746" s="72"/>
      <c r="L746" s="72"/>
      <c r="M746" s="72"/>
      <c r="N746" s="72"/>
      <c r="O746" s="72"/>
      <c r="P746" s="72"/>
      <c r="Q746" s="72"/>
      <c r="R746" s="72"/>
      <c r="S746" s="72"/>
      <c r="T746" s="72"/>
      <c r="V746" s="72"/>
      <c r="W746" s="72"/>
      <c r="X746" s="72" t="str">
        <f t="shared" si="3"/>
        <v/>
      </c>
      <c r="Y746" s="72"/>
    </row>
    <row r="747">
      <c r="B747" s="1"/>
      <c r="C747" s="1"/>
      <c r="D747" s="1" t="str">
        <f t="shared" si="1"/>
        <v/>
      </c>
      <c r="F747" s="1"/>
      <c r="G747" s="1"/>
      <c r="H747" s="1" t="str">
        <f t="shared" si="2"/>
        <v/>
      </c>
      <c r="J747" s="274"/>
      <c r="K747" s="72"/>
      <c r="L747" s="72"/>
      <c r="M747" s="72"/>
      <c r="N747" s="72"/>
      <c r="O747" s="72"/>
      <c r="P747" s="72"/>
      <c r="Q747" s="72"/>
      <c r="R747" s="72"/>
      <c r="S747" s="72"/>
      <c r="T747" s="72"/>
      <c r="V747" s="72"/>
      <c r="W747" s="72"/>
      <c r="X747" s="72" t="str">
        <f t="shared" si="3"/>
        <v/>
      </c>
      <c r="Y747" s="72"/>
    </row>
    <row r="748">
      <c r="B748" s="1"/>
      <c r="C748" s="1"/>
      <c r="D748" s="1" t="str">
        <f t="shared" si="1"/>
        <v/>
      </c>
      <c r="F748" s="1"/>
      <c r="G748" s="1"/>
      <c r="H748" s="1" t="str">
        <f t="shared" si="2"/>
        <v/>
      </c>
      <c r="J748" s="274"/>
      <c r="K748" s="72"/>
      <c r="L748" s="72"/>
      <c r="M748" s="72"/>
      <c r="N748" s="72"/>
      <c r="O748" s="72"/>
      <c r="P748" s="72"/>
      <c r="Q748" s="72"/>
      <c r="R748" s="72"/>
      <c r="S748" s="72"/>
      <c r="T748" s="72"/>
      <c r="V748" s="72"/>
      <c r="W748" s="72"/>
      <c r="X748" s="72" t="str">
        <f t="shared" si="3"/>
        <v/>
      </c>
      <c r="Y748" s="72"/>
    </row>
    <row r="749">
      <c r="B749" s="1"/>
      <c r="C749" s="1"/>
      <c r="D749" s="1" t="str">
        <f t="shared" si="1"/>
        <v/>
      </c>
      <c r="F749" s="1"/>
      <c r="G749" s="1"/>
      <c r="H749" s="1" t="str">
        <f t="shared" si="2"/>
        <v/>
      </c>
      <c r="J749" s="274"/>
      <c r="K749" s="72"/>
      <c r="L749" s="72"/>
      <c r="M749" s="72"/>
      <c r="N749" s="72"/>
      <c r="O749" s="72"/>
      <c r="P749" s="72"/>
      <c r="Q749" s="72"/>
      <c r="R749" s="72"/>
      <c r="S749" s="72"/>
      <c r="T749" s="72"/>
      <c r="V749" s="72"/>
      <c r="W749" s="72"/>
      <c r="X749" s="72" t="str">
        <f t="shared" si="3"/>
        <v/>
      </c>
      <c r="Y749" s="72"/>
    </row>
    <row r="750">
      <c r="B750" s="1"/>
      <c r="C750" s="1"/>
      <c r="D750" s="1" t="str">
        <f t="shared" si="1"/>
        <v/>
      </c>
      <c r="F750" s="1"/>
      <c r="G750" s="1"/>
      <c r="H750" s="1" t="str">
        <f t="shared" si="2"/>
        <v/>
      </c>
      <c r="J750" s="274"/>
      <c r="K750" s="72"/>
      <c r="L750" s="72"/>
      <c r="M750" s="72"/>
      <c r="N750" s="72"/>
      <c r="O750" s="72"/>
      <c r="P750" s="72"/>
      <c r="Q750" s="72"/>
      <c r="R750" s="72"/>
      <c r="S750" s="72"/>
      <c r="T750" s="72"/>
      <c r="V750" s="72"/>
      <c r="W750" s="72"/>
      <c r="X750" s="72" t="str">
        <f t="shared" si="3"/>
        <v/>
      </c>
      <c r="Y750" s="72"/>
    </row>
    <row r="751">
      <c r="B751" s="1"/>
      <c r="C751" s="1"/>
      <c r="D751" s="1" t="str">
        <f t="shared" si="1"/>
        <v/>
      </c>
      <c r="F751" s="1"/>
      <c r="G751" s="1"/>
      <c r="H751" s="1" t="str">
        <f t="shared" si="2"/>
        <v/>
      </c>
      <c r="J751" s="274"/>
      <c r="K751" s="72"/>
      <c r="L751" s="72"/>
      <c r="M751" s="72"/>
      <c r="N751" s="72"/>
      <c r="O751" s="72"/>
      <c r="P751" s="72"/>
      <c r="Q751" s="72"/>
      <c r="R751" s="72"/>
      <c r="S751" s="72"/>
      <c r="T751" s="72"/>
      <c r="V751" s="72"/>
      <c r="W751" s="72"/>
      <c r="X751" s="72" t="str">
        <f t="shared" si="3"/>
        <v/>
      </c>
      <c r="Y751" s="72"/>
    </row>
    <row r="752">
      <c r="B752" s="1"/>
      <c r="C752" s="1"/>
      <c r="D752" s="1" t="str">
        <f t="shared" si="1"/>
        <v/>
      </c>
      <c r="F752" s="1"/>
      <c r="G752" s="1"/>
      <c r="H752" s="1" t="str">
        <f t="shared" si="2"/>
        <v/>
      </c>
      <c r="J752" s="274"/>
      <c r="K752" s="72"/>
      <c r="L752" s="72"/>
      <c r="M752" s="72"/>
      <c r="N752" s="72"/>
      <c r="O752" s="72"/>
      <c r="P752" s="72"/>
      <c r="Q752" s="72"/>
      <c r="R752" s="72"/>
      <c r="S752" s="72"/>
      <c r="T752" s="72"/>
      <c r="V752" s="72"/>
      <c r="W752" s="72"/>
      <c r="X752" s="72" t="str">
        <f t="shared" si="3"/>
        <v/>
      </c>
      <c r="Y752" s="72"/>
    </row>
    <row r="753">
      <c r="B753" s="1"/>
      <c r="C753" s="1"/>
      <c r="D753" s="1" t="str">
        <f t="shared" si="1"/>
        <v/>
      </c>
      <c r="F753" s="1"/>
      <c r="G753" s="1"/>
      <c r="H753" s="1" t="str">
        <f t="shared" si="2"/>
        <v/>
      </c>
      <c r="J753" s="274"/>
      <c r="K753" s="72"/>
      <c r="L753" s="72"/>
      <c r="M753" s="72"/>
      <c r="N753" s="72"/>
      <c r="O753" s="72"/>
      <c r="P753" s="72"/>
      <c r="Q753" s="72"/>
      <c r="R753" s="72"/>
      <c r="S753" s="72"/>
      <c r="T753" s="72"/>
      <c r="V753" s="72"/>
      <c r="W753" s="72"/>
      <c r="X753" s="72" t="str">
        <f t="shared" si="3"/>
        <v/>
      </c>
      <c r="Y753" s="72"/>
    </row>
    <row r="754">
      <c r="B754" s="1"/>
      <c r="C754" s="1"/>
      <c r="D754" s="1" t="str">
        <f t="shared" si="1"/>
        <v/>
      </c>
      <c r="F754" s="1"/>
      <c r="G754" s="1"/>
      <c r="H754" s="1" t="str">
        <f t="shared" si="2"/>
        <v/>
      </c>
      <c r="J754" s="274"/>
      <c r="K754" s="72"/>
      <c r="L754" s="72"/>
      <c r="M754" s="72"/>
      <c r="N754" s="72"/>
      <c r="O754" s="72"/>
      <c r="P754" s="72"/>
      <c r="Q754" s="72"/>
      <c r="R754" s="72"/>
      <c r="S754" s="72"/>
      <c r="T754" s="72"/>
      <c r="V754" s="72"/>
      <c r="W754" s="72"/>
      <c r="X754" s="72" t="str">
        <f t="shared" si="3"/>
        <v/>
      </c>
      <c r="Y754" s="72"/>
    </row>
    <row r="755">
      <c r="B755" s="1"/>
      <c r="C755" s="1"/>
      <c r="D755" s="1" t="str">
        <f t="shared" si="1"/>
        <v/>
      </c>
      <c r="F755" s="1"/>
      <c r="G755" s="1"/>
      <c r="H755" s="1" t="str">
        <f t="shared" si="2"/>
        <v/>
      </c>
      <c r="J755" s="274"/>
      <c r="K755" s="72"/>
      <c r="L755" s="72"/>
      <c r="M755" s="72"/>
      <c r="N755" s="72"/>
      <c r="O755" s="72"/>
      <c r="P755" s="72"/>
      <c r="Q755" s="72"/>
      <c r="R755" s="72"/>
      <c r="S755" s="72"/>
      <c r="T755" s="72"/>
      <c r="V755" s="72"/>
      <c r="W755" s="72"/>
      <c r="X755" s="72" t="str">
        <f t="shared" si="3"/>
        <v/>
      </c>
      <c r="Y755" s="72"/>
    </row>
    <row r="756">
      <c r="B756" s="1"/>
      <c r="C756" s="1"/>
      <c r="D756" s="1" t="str">
        <f t="shared" si="1"/>
        <v/>
      </c>
      <c r="F756" s="1"/>
      <c r="G756" s="1"/>
      <c r="H756" s="1" t="str">
        <f t="shared" si="2"/>
        <v/>
      </c>
      <c r="J756" s="274"/>
      <c r="K756" s="72"/>
      <c r="L756" s="72"/>
      <c r="M756" s="72"/>
      <c r="N756" s="72"/>
      <c r="O756" s="72"/>
      <c r="P756" s="72"/>
      <c r="Q756" s="72"/>
      <c r="R756" s="72"/>
      <c r="S756" s="72"/>
      <c r="T756" s="72"/>
      <c r="V756" s="72"/>
      <c r="W756" s="72"/>
      <c r="X756" s="72" t="str">
        <f t="shared" si="3"/>
        <v/>
      </c>
      <c r="Y756" s="72"/>
    </row>
    <row r="757">
      <c r="B757" s="1"/>
      <c r="C757" s="1"/>
      <c r="D757" s="1" t="str">
        <f t="shared" si="1"/>
        <v/>
      </c>
      <c r="F757" s="1"/>
      <c r="G757" s="1"/>
      <c r="H757" s="1" t="str">
        <f t="shared" si="2"/>
        <v/>
      </c>
      <c r="J757" s="274"/>
      <c r="K757" s="72"/>
      <c r="L757" s="72"/>
      <c r="M757" s="72"/>
      <c r="N757" s="72"/>
      <c r="O757" s="72"/>
      <c r="P757" s="72"/>
      <c r="Q757" s="72"/>
      <c r="R757" s="72"/>
      <c r="S757" s="72"/>
      <c r="T757" s="72"/>
      <c r="V757" s="72"/>
      <c r="W757" s="72"/>
      <c r="X757" s="72" t="str">
        <f t="shared" si="3"/>
        <v/>
      </c>
      <c r="Y757" s="72"/>
    </row>
    <row r="758">
      <c r="B758" s="1"/>
      <c r="C758" s="1"/>
      <c r="D758" s="1" t="str">
        <f t="shared" si="1"/>
        <v/>
      </c>
      <c r="F758" s="1"/>
      <c r="G758" s="1"/>
      <c r="H758" s="1" t="str">
        <f t="shared" si="2"/>
        <v/>
      </c>
      <c r="J758" s="274"/>
      <c r="K758" s="72"/>
      <c r="L758" s="72"/>
      <c r="M758" s="72"/>
      <c r="N758" s="72"/>
      <c r="O758" s="72"/>
      <c r="P758" s="72"/>
      <c r="Q758" s="72"/>
      <c r="R758" s="72"/>
      <c r="S758" s="72"/>
      <c r="T758" s="72"/>
      <c r="V758" s="72"/>
      <c r="W758" s="72"/>
      <c r="X758" s="72" t="str">
        <f t="shared" si="3"/>
        <v/>
      </c>
      <c r="Y758" s="72"/>
    </row>
    <row r="759">
      <c r="B759" s="1"/>
      <c r="C759" s="1"/>
      <c r="D759" s="1" t="str">
        <f t="shared" si="1"/>
        <v/>
      </c>
      <c r="F759" s="1"/>
      <c r="G759" s="1"/>
      <c r="H759" s="1" t="str">
        <f t="shared" si="2"/>
        <v/>
      </c>
      <c r="J759" s="274"/>
      <c r="K759" s="72"/>
      <c r="L759" s="72"/>
      <c r="M759" s="72"/>
      <c r="N759" s="72"/>
      <c r="O759" s="72"/>
      <c r="P759" s="72"/>
      <c r="Q759" s="72"/>
      <c r="R759" s="72"/>
      <c r="S759" s="72"/>
      <c r="T759" s="72"/>
      <c r="V759" s="72"/>
      <c r="W759" s="72"/>
      <c r="X759" s="72" t="str">
        <f t="shared" si="3"/>
        <v/>
      </c>
      <c r="Y759" s="72"/>
    </row>
    <row r="760">
      <c r="B760" s="1"/>
      <c r="C760" s="1"/>
      <c r="D760" s="1" t="str">
        <f t="shared" si="1"/>
        <v/>
      </c>
      <c r="F760" s="1"/>
      <c r="G760" s="1"/>
      <c r="H760" s="1" t="str">
        <f t="shared" si="2"/>
        <v/>
      </c>
      <c r="J760" s="274"/>
      <c r="K760" s="72"/>
      <c r="L760" s="72"/>
      <c r="M760" s="72"/>
      <c r="N760" s="72"/>
      <c r="O760" s="72"/>
      <c r="P760" s="72"/>
      <c r="Q760" s="72"/>
      <c r="R760" s="72"/>
      <c r="S760" s="72"/>
      <c r="T760" s="72"/>
      <c r="V760" s="72"/>
      <c r="W760" s="72"/>
      <c r="X760" s="72" t="str">
        <f t="shared" si="3"/>
        <v/>
      </c>
      <c r="Y760" s="72"/>
    </row>
    <row r="761">
      <c r="B761" s="1"/>
      <c r="C761" s="1"/>
      <c r="D761" s="1" t="str">
        <f t="shared" si="1"/>
        <v/>
      </c>
      <c r="F761" s="1"/>
      <c r="G761" s="1"/>
      <c r="H761" s="1" t="str">
        <f t="shared" si="2"/>
        <v/>
      </c>
      <c r="J761" s="274"/>
      <c r="K761" s="72"/>
      <c r="L761" s="72"/>
      <c r="M761" s="72"/>
      <c r="N761" s="72"/>
      <c r="O761" s="72"/>
      <c r="P761" s="72"/>
      <c r="Q761" s="72"/>
      <c r="R761" s="72"/>
      <c r="S761" s="72"/>
      <c r="T761" s="72"/>
      <c r="V761" s="72"/>
      <c r="W761" s="72"/>
      <c r="X761" s="72" t="str">
        <f t="shared" si="3"/>
        <v/>
      </c>
      <c r="Y761" s="72"/>
    </row>
    <row r="762">
      <c r="B762" s="1"/>
      <c r="C762" s="1"/>
      <c r="D762" s="1" t="str">
        <f t="shared" si="1"/>
        <v/>
      </c>
      <c r="F762" s="1"/>
      <c r="G762" s="1"/>
      <c r="H762" s="1" t="str">
        <f t="shared" si="2"/>
        <v/>
      </c>
      <c r="J762" s="274"/>
      <c r="K762" s="72"/>
      <c r="L762" s="72"/>
      <c r="M762" s="72"/>
      <c r="N762" s="72"/>
      <c r="O762" s="72"/>
      <c r="P762" s="72"/>
      <c r="Q762" s="72"/>
      <c r="R762" s="72"/>
      <c r="S762" s="72"/>
      <c r="T762" s="72"/>
      <c r="V762" s="72"/>
      <c r="W762" s="72"/>
      <c r="X762" s="72" t="str">
        <f t="shared" si="3"/>
        <v/>
      </c>
      <c r="Y762" s="72"/>
    </row>
    <row r="763">
      <c r="B763" s="1"/>
      <c r="C763" s="1"/>
      <c r="D763" s="1" t="str">
        <f t="shared" si="1"/>
        <v/>
      </c>
      <c r="F763" s="1"/>
      <c r="G763" s="1"/>
      <c r="H763" s="1" t="str">
        <f t="shared" si="2"/>
        <v/>
      </c>
      <c r="J763" s="274"/>
      <c r="K763" s="72"/>
      <c r="L763" s="72"/>
      <c r="M763" s="72"/>
      <c r="N763" s="72"/>
      <c r="O763" s="72"/>
      <c r="P763" s="72"/>
      <c r="Q763" s="72"/>
      <c r="R763" s="72"/>
      <c r="S763" s="72"/>
      <c r="T763" s="72"/>
      <c r="V763" s="72"/>
      <c r="W763" s="72"/>
      <c r="X763" s="72" t="str">
        <f t="shared" si="3"/>
        <v/>
      </c>
      <c r="Y763" s="72"/>
    </row>
    <row r="764">
      <c r="B764" s="1"/>
      <c r="C764" s="1"/>
      <c r="D764" s="1" t="str">
        <f t="shared" si="1"/>
        <v/>
      </c>
      <c r="F764" s="1"/>
      <c r="G764" s="1"/>
      <c r="H764" s="1" t="str">
        <f t="shared" si="2"/>
        <v/>
      </c>
      <c r="J764" s="274"/>
      <c r="K764" s="72"/>
      <c r="L764" s="72"/>
      <c r="M764" s="72"/>
      <c r="N764" s="72"/>
      <c r="O764" s="72"/>
      <c r="P764" s="72"/>
      <c r="Q764" s="72"/>
      <c r="R764" s="72"/>
      <c r="S764" s="72"/>
      <c r="T764" s="72"/>
      <c r="V764" s="72"/>
      <c r="W764" s="72"/>
      <c r="X764" s="72" t="str">
        <f t="shared" si="3"/>
        <v/>
      </c>
      <c r="Y764" s="72"/>
    </row>
    <row r="765">
      <c r="B765" s="1"/>
      <c r="C765" s="1"/>
      <c r="D765" s="1" t="str">
        <f t="shared" si="1"/>
        <v/>
      </c>
      <c r="F765" s="1"/>
      <c r="G765" s="1"/>
      <c r="H765" s="1" t="str">
        <f t="shared" si="2"/>
        <v/>
      </c>
      <c r="J765" s="274"/>
      <c r="K765" s="72"/>
      <c r="L765" s="72"/>
      <c r="M765" s="72"/>
      <c r="N765" s="72"/>
      <c r="O765" s="72"/>
      <c r="P765" s="72"/>
      <c r="Q765" s="72"/>
      <c r="R765" s="72"/>
      <c r="S765" s="72"/>
      <c r="T765" s="72"/>
      <c r="V765" s="72"/>
      <c r="W765" s="72"/>
      <c r="X765" s="72" t="str">
        <f t="shared" si="3"/>
        <v/>
      </c>
      <c r="Y765" s="72"/>
    </row>
    <row r="766">
      <c r="B766" s="1"/>
      <c r="C766" s="1"/>
      <c r="D766" s="1" t="str">
        <f t="shared" si="1"/>
        <v/>
      </c>
      <c r="F766" s="1"/>
      <c r="G766" s="1"/>
      <c r="H766" s="1" t="str">
        <f t="shared" si="2"/>
        <v/>
      </c>
      <c r="J766" s="274"/>
      <c r="K766" s="72"/>
      <c r="L766" s="72"/>
      <c r="M766" s="72"/>
      <c r="N766" s="72"/>
      <c r="O766" s="72"/>
      <c r="P766" s="72"/>
      <c r="Q766" s="72"/>
      <c r="R766" s="72"/>
      <c r="S766" s="72"/>
      <c r="T766" s="72"/>
      <c r="V766" s="72"/>
      <c r="W766" s="72"/>
      <c r="X766" s="72" t="str">
        <f t="shared" si="3"/>
        <v/>
      </c>
      <c r="Y766" s="72"/>
    </row>
    <row r="767">
      <c r="B767" s="1"/>
      <c r="C767" s="1"/>
      <c r="D767" s="1" t="str">
        <f t="shared" si="1"/>
        <v/>
      </c>
      <c r="F767" s="1"/>
      <c r="G767" s="1"/>
      <c r="H767" s="1" t="str">
        <f t="shared" si="2"/>
        <v/>
      </c>
      <c r="J767" s="274"/>
      <c r="K767" s="72"/>
      <c r="L767" s="72"/>
      <c r="M767" s="72"/>
      <c r="N767" s="72"/>
      <c r="O767" s="72"/>
      <c r="P767" s="72"/>
      <c r="Q767" s="72"/>
      <c r="R767" s="72"/>
      <c r="S767" s="72"/>
      <c r="T767" s="72"/>
      <c r="V767" s="72"/>
      <c r="W767" s="72"/>
      <c r="X767" s="72" t="str">
        <f t="shared" si="3"/>
        <v/>
      </c>
      <c r="Y767" s="72"/>
    </row>
    <row r="768">
      <c r="B768" s="1"/>
      <c r="C768" s="1"/>
      <c r="D768" s="1" t="str">
        <f t="shared" si="1"/>
        <v/>
      </c>
      <c r="F768" s="1"/>
      <c r="G768" s="1"/>
      <c r="H768" s="1" t="str">
        <f t="shared" si="2"/>
        <v/>
      </c>
      <c r="J768" s="274"/>
      <c r="K768" s="72"/>
      <c r="L768" s="72"/>
      <c r="M768" s="72"/>
      <c r="N768" s="72"/>
      <c r="O768" s="72"/>
      <c r="P768" s="72"/>
      <c r="Q768" s="72"/>
      <c r="R768" s="72"/>
      <c r="S768" s="72"/>
      <c r="T768" s="72"/>
      <c r="V768" s="72"/>
      <c r="W768" s="72"/>
      <c r="X768" s="72" t="str">
        <f t="shared" si="3"/>
        <v/>
      </c>
      <c r="Y768" s="72"/>
    </row>
    <row r="769">
      <c r="B769" s="1"/>
      <c r="C769" s="1"/>
      <c r="D769" s="1" t="str">
        <f t="shared" si="1"/>
        <v/>
      </c>
      <c r="F769" s="1"/>
      <c r="G769" s="1"/>
      <c r="H769" s="1" t="str">
        <f t="shared" si="2"/>
        <v/>
      </c>
      <c r="J769" s="274"/>
      <c r="K769" s="72"/>
      <c r="L769" s="72"/>
      <c r="M769" s="72"/>
      <c r="N769" s="72"/>
      <c r="O769" s="72"/>
      <c r="P769" s="72"/>
      <c r="Q769" s="72"/>
      <c r="R769" s="72"/>
      <c r="S769" s="72"/>
      <c r="T769" s="72"/>
      <c r="V769" s="72"/>
      <c r="W769" s="72"/>
      <c r="X769" s="72" t="str">
        <f t="shared" si="3"/>
        <v/>
      </c>
      <c r="Y769" s="72"/>
    </row>
    <row r="770">
      <c r="B770" s="1"/>
      <c r="C770" s="1"/>
      <c r="D770" s="1" t="str">
        <f t="shared" si="1"/>
        <v/>
      </c>
      <c r="F770" s="1"/>
      <c r="G770" s="1"/>
      <c r="H770" s="1" t="str">
        <f t="shared" si="2"/>
        <v/>
      </c>
      <c r="J770" s="274"/>
      <c r="K770" s="72"/>
      <c r="L770" s="72"/>
      <c r="M770" s="72"/>
      <c r="N770" s="72"/>
      <c r="O770" s="72"/>
      <c r="P770" s="72"/>
      <c r="Q770" s="72"/>
      <c r="R770" s="72"/>
      <c r="S770" s="72"/>
      <c r="T770" s="72"/>
      <c r="V770" s="72"/>
      <c r="W770" s="72"/>
      <c r="X770" s="72" t="str">
        <f t="shared" si="3"/>
        <v/>
      </c>
      <c r="Y770" s="72"/>
    </row>
    <row r="771">
      <c r="B771" s="1"/>
      <c r="C771" s="1"/>
      <c r="D771" s="1" t="str">
        <f t="shared" si="1"/>
        <v/>
      </c>
      <c r="F771" s="1"/>
      <c r="G771" s="1"/>
      <c r="H771" s="1" t="str">
        <f t="shared" si="2"/>
        <v/>
      </c>
      <c r="J771" s="274"/>
      <c r="K771" s="72"/>
      <c r="L771" s="72"/>
      <c r="M771" s="72"/>
      <c r="N771" s="72"/>
      <c r="O771" s="72"/>
      <c r="P771" s="72"/>
      <c r="Q771" s="72"/>
      <c r="R771" s="72"/>
      <c r="S771" s="72"/>
      <c r="T771" s="72"/>
      <c r="V771" s="72"/>
      <c r="W771" s="72"/>
      <c r="X771" s="72" t="str">
        <f t="shared" si="3"/>
        <v/>
      </c>
      <c r="Y771" s="72"/>
    </row>
    <row r="772">
      <c r="B772" s="1"/>
      <c r="C772" s="1"/>
      <c r="D772" s="1" t="str">
        <f t="shared" si="1"/>
        <v/>
      </c>
      <c r="F772" s="1"/>
      <c r="G772" s="1"/>
      <c r="H772" s="1" t="str">
        <f t="shared" si="2"/>
        <v/>
      </c>
      <c r="J772" s="274"/>
      <c r="K772" s="72"/>
      <c r="L772" s="72"/>
      <c r="M772" s="72"/>
      <c r="N772" s="72"/>
      <c r="O772" s="72"/>
      <c r="P772" s="72"/>
      <c r="Q772" s="72"/>
      <c r="R772" s="72"/>
      <c r="S772" s="72"/>
      <c r="T772" s="72"/>
      <c r="V772" s="72"/>
      <c r="W772" s="72"/>
      <c r="X772" s="72" t="str">
        <f t="shared" si="3"/>
        <v/>
      </c>
      <c r="Y772" s="72"/>
    </row>
    <row r="773">
      <c r="B773" s="1"/>
      <c r="C773" s="1"/>
      <c r="D773" s="1" t="str">
        <f t="shared" si="1"/>
        <v/>
      </c>
      <c r="F773" s="1"/>
      <c r="G773" s="1"/>
      <c r="H773" s="1" t="str">
        <f t="shared" si="2"/>
        <v/>
      </c>
      <c r="J773" s="274"/>
      <c r="K773" s="72"/>
      <c r="L773" s="72"/>
      <c r="M773" s="72"/>
      <c r="N773" s="72"/>
      <c r="O773" s="72"/>
      <c r="P773" s="72"/>
      <c r="Q773" s="72"/>
      <c r="R773" s="72"/>
      <c r="S773" s="72"/>
      <c r="T773" s="72"/>
      <c r="V773" s="72"/>
      <c r="W773" s="72"/>
      <c r="X773" s="72" t="str">
        <f t="shared" si="3"/>
        <v/>
      </c>
      <c r="Y773" s="72"/>
    </row>
    <row r="774">
      <c r="B774" s="1"/>
      <c r="C774" s="1"/>
      <c r="D774" s="1" t="str">
        <f t="shared" si="1"/>
        <v/>
      </c>
      <c r="F774" s="1"/>
      <c r="G774" s="1"/>
      <c r="H774" s="1" t="str">
        <f t="shared" si="2"/>
        <v/>
      </c>
      <c r="J774" s="274"/>
      <c r="K774" s="72"/>
      <c r="L774" s="72"/>
      <c r="M774" s="72"/>
      <c r="N774" s="72"/>
      <c r="O774" s="72"/>
      <c r="P774" s="72"/>
      <c r="Q774" s="72"/>
      <c r="R774" s="72"/>
      <c r="S774" s="72"/>
      <c r="T774" s="72"/>
      <c r="V774" s="72"/>
      <c r="W774" s="72"/>
      <c r="X774" s="72" t="str">
        <f t="shared" si="3"/>
        <v/>
      </c>
      <c r="Y774" s="72"/>
    </row>
    <row r="775">
      <c r="B775" s="1"/>
      <c r="C775" s="1"/>
      <c r="D775" s="1" t="str">
        <f t="shared" si="1"/>
        <v/>
      </c>
      <c r="F775" s="1"/>
      <c r="G775" s="1"/>
      <c r="H775" s="1" t="str">
        <f t="shared" si="2"/>
        <v/>
      </c>
      <c r="J775" s="274"/>
      <c r="K775" s="72"/>
      <c r="L775" s="72"/>
      <c r="M775" s="72"/>
      <c r="N775" s="72"/>
      <c r="O775" s="72"/>
      <c r="P775" s="72"/>
      <c r="Q775" s="72"/>
      <c r="R775" s="72"/>
      <c r="S775" s="72"/>
      <c r="T775" s="72"/>
      <c r="V775" s="72"/>
      <c r="W775" s="72"/>
      <c r="X775" s="72" t="str">
        <f t="shared" si="3"/>
        <v/>
      </c>
      <c r="Y775" s="72"/>
    </row>
    <row r="776">
      <c r="B776" s="1"/>
      <c r="C776" s="1"/>
      <c r="D776" s="1" t="str">
        <f t="shared" si="1"/>
        <v/>
      </c>
      <c r="F776" s="1"/>
      <c r="G776" s="1"/>
      <c r="H776" s="1" t="str">
        <f t="shared" si="2"/>
        <v/>
      </c>
      <c r="J776" s="274"/>
      <c r="K776" s="72"/>
      <c r="L776" s="72"/>
      <c r="M776" s="72"/>
      <c r="N776" s="72"/>
      <c r="O776" s="72"/>
      <c r="P776" s="72"/>
      <c r="Q776" s="72"/>
      <c r="R776" s="72"/>
      <c r="S776" s="72"/>
      <c r="T776" s="72"/>
      <c r="V776" s="72"/>
      <c r="W776" s="72"/>
      <c r="X776" s="72" t="str">
        <f t="shared" si="3"/>
        <v/>
      </c>
      <c r="Y776" s="72"/>
    </row>
    <row r="777">
      <c r="B777" s="1"/>
      <c r="C777" s="1"/>
      <c r="D777" s="1" t="str">
        <f t="shared" si="1"/>
        <v/>
      </c>
      <c r="F777" s="1"/>
      <c r="G777" s="1"/>
      <c r="H777" s="1" t="str">
        <f t="shared" si="2"/>
        <v/>
      </c>
      <c r="J777" s="274"/>
      <c r="K777" s="72"/>
      <c r="L777" s="72"/>
      <c r="M777" s="72"/>
      <c r="N777" s="72"/>
      <c r="O777" s="72"/>
      <c r="P777" s="72"/>
      <c r="Q777" s="72"/>
      <c r="R777" s="72"/>
      <c r="S777" s="72"/>
      <c r="T777" s="72"/>
      <c r="V777" s="72"/>
      <c r="W777" s="72"/>
      <c r="X777" s="72" t="str">
        <f t="shared" si="3"/>
        <v/>
      </c>
      <c r="Y777" s="72"/>
    </row>
    <row r="778">
      <c r="B778" s="1"/>
      <c r="C778" s="1"/>
      <c r="D778" s="1" t="str">
        <f t="shared" si="1"/>
        <v/>
      </c>
      <c r="F778" s="1"/>
      <c r="G778" s="1"/>
      <c r="H778" s="1" t="str">
        <f t="shared" si="2"/>
        <v/>
      </c>
      <c r="J778" s="274"/>
      <c r="K778" s="72"/>
      <c r="L778" s="72"/>
      <c r="M778" s="72"/>
      <c r="N778" s="72"/>
      <c r="O778" s="72"/>
      <c r="P778" s="72"/>
      <c r="Q778" s="72"/>
      <c r="R778" s="72"/>
      <c r="S778" s="72"/>
      <c r="T778" s="72"/>
      <c r="V778" s="72"/>
      <c r="W778" s="72"/>
      <c r="X778" s="72" t="str">
        <f t="shared" si="3"/>
        <v/>
      </c>
      <c r="Y778" s="72"/>
    </row>
    <row r="779">
      <c r="B779" s="1"/>
      <c r="C779" s="1"/>
      <c r="D779" s="1" t="str">
        <f t="shared" si="1"/>
        <v/>
      </c>
      <c r="F779" s="1"/>
      <c r="G779" s="1"/>
      <c r="H779" s="1" t="str">
        <f t="shared" si="2"/>
        <v/>
      </c>
      <c r="J779" s="274"/>
      <c r="K779" s="72"/>
      <c r="L779" s="72"/>
      <c r="M779" s="72"/>
      <c r="N779" s="72"/>
      <c r="O779" s="72"/>
      <c r="P779" s="72"/>
      <c r="Q779" s="72"/>
      <c r="R779" s="72"/>
      <c r="S779" s="72"/>
      <c r="T779" s="72"/>
      <c r="V779" s="72"/>
      <c r="W779" s="72"/>
      <c r="X779" s="72" t="str">
        <f t="shared" si="3"/>
        <v/>
      </c>
      <c r="Y779" s="72"/>
    </row>
    <row r="780">
      <c r="B780" s="1"/>
      <c r="C780" s="1"/>
      <c r="D780" s="1" t="str">
        <f t="shared" si="1"/>
        <v/>
      </c>
      <c r="F780" s="1"/>
      <c r="G780" s="1"/>
      <c r="H780" s="1" t="str">
        <f t="shared" si="2"/>
        <v/>
      </c>
      <c r="J780" s="274"/>
      <c r="K780" s="72"/>
      <c r="L780" s="72"/>
      <c r="M780" s="72"/>
      <c r="N780" s="72"/>
      <c r="O780" s="72"/>
      <c r="P780" s="72"/>
      <c r="Q780" s="72"/>
      <c r="R780" s="72"/>
      <c r="S780" s="72"/>
      <c r="T780" s="72"/>
      <c r="V780" s="72"/>
      <c r="W780" s="72"/>
      <c r="X780" s="72" t="str">
        <f t="shared" si="3"/>
        <v/>
      </c>
      <c r="Y780" s="72"/>
    </row>
    <row r="781">
      <c r="B781" s="1"/>
      <c r="C781" s="1"/>
      <c r="D781" s="1" t="str">
        <f t="shared" si="1"/>
        <v/>
      </c>
      <c r="F781" s="1"/>
      <c r="G781" s="1"/>
      <c r="H781" s="1" t="str">
        <f t="shared" si="2"/>
        <v/>
      </c>
      <c r="J781" s="274"/>
      <c r="K781" s="72"/>
      <c r="L781" s="72"/>
      <c r="M781" s="72"/>
      <c r="N781" s="72"/>
      <c r="O781" s="72"/>
      <c r="P781" s="72"/>
      <c r="Q781" s="72"/>
      <c r="R781" s="72"/>
      <c r="S781" s="72"/>
      <c r="T781" s="72"/>
      <c r="V781" s="72"/>
      <c r="W781" s="72"/>
      <c r="X781" s="72" t="str">
        <f t="shared" si="3"/>
        <v/>
      </c>
      <c r="Y781" s="72"/>
    </row>
    <row r="782">
      <c r="B782" s="1"/>
      <c r="C782" s="1"/>
      <c r="D782" s="1" t="str">
        <f t="shared" si="1"/>
        <v/>
      </c>
      <c r="F782" s="1"/>
      <c r="G782" s="1"/>
      <c r="H782" s="1" t="str">
        <f t="shared" si="2"/>
        <v/>
      </c>
      <c r="J782" s="274"/>
      <c r="K782" s="72"/>
      <c r="L782" s="72"/>
      <c r="M782" s="72"/>
      <c r="N782" s="72"/>
      <c r="O782" s="72"/>
      <c r="P782" s="72"/>
      <c r="Q782" s="72"/>
      <c r="R782" s="72"/>
      <c r="S782" s="72"/>
      <c r="T782" s="72"/>
      <c r="V782" s="72"/>
      <c r="W782" s="72"/>
      <c r="X782" s="72" t="str">
        <f t="shared" si="3"/>
        <v/>
      </c>
      <c r="Y782" s="72"/>
    </row>
    <row r="783">
      <c r="B783" s="1"/>
      <c r="C783" s="1"/>
      <c r="D783" s="1" t="str">
        <f t="shared" si="1"/>
        <v/>
      </c>
      <c r="F783" s="1"/>
      <c r="G783" s="1"/>
      <c r="H783" s="1" t="str">
        <f t="shared" si="2"/>
        <v/>
      </c>
      <c r="J783" s="274"/>
      <c r="K783" s="72"/>
      <c r="L783" s="72"/>
      <c r="M783" s="72"/>
      <c r="N783" s="72"/>
      <c r="O783" s="72"/>
      <c r="P783" s="72"/>
      <c r="Q783" s="72"/>
      <c r="R783" s="72"/>
      <c r="S783" s="72"/>
      <c r="T783" s="72"/>
      <c r="V783" s="72"/>
      <c r="W783" s="72"/>
      <c r="X783" s="72" t="str">
        <f t="shared" si="3"/>
        <v/>
      </c>
      <c r="Y783" s="72"/>
    </row>
    <row r="784">
      <c r="B784" s="1"/>
      <c r="C784" s="1"/>
      <c r="D784" s="1" t="str">
        <f t="shared" si="1"/>
        <v/>
      </c>
      <c r="F784" s="1"/>
      <c r="G784" s="1"/>
      <c r="H784" s="1" t="str">
        <f t="shared" si="2"/>
        <v/>
      </c>
      <c r="J784" s="274"/>
      <c r="K784" s="72"/>
      <c r="L784" s="72"/>
      <c r="M784" s="72"/>
      <c r="N784" s="72"/>
      <c r="O784" s="72"/>
      <c r="P784" s="72"/>
      <c r="Q784" s="72"/>
      <c r="R784" s="72"/>
      <c r="S784" s="72"/>
      <c r="T784" s="72"/>
      <c r="V784" s="72"/>
      <c r="W784" s="72"/>
      <c r="X784" s="72" t="str">
        <f t="shared" si="3"/>
        <v/>
      </c>
      <c r="Y784" s="72"/>
    </row>
    <row r="785">
      <c r="B785" s="1"/>
      <c r="C785" s="1"/>
      <c r="D785" s="1" t="str">
        <f t="shared" si="1"/>
        <v/>
      </c>
      <c r="F785" s="1"/>
      <c r="G785" s="1"/>
      <c r="H785" s="1" t="str">
        <f t="shared" si="2"/>
        <v/>
      </c>
      <c r="J785" s="274"/>
      <c r="K785" s="72"/>
      <c r="L785" s="72"/>
      <c r="M785" s="72"/>
      <c r="N785" s="72"/>
      <c r="O785" s="72"/>
      <c r="P785" s="72"/>
      <c r="Q785" s="72"/>
      <c r="R785" s="72"/>
      <c r="S785" s="72"/>
      <c r="T785" s="72"/>
      <c r="V785" s="72"/>
      <c r="W785" s="72"/>
      <c r="X785" s="72" t="str">
        <f t="shared" si="3"/>
        <v/>
      </c>
      <c r="Y785" s="72"/>
    </row>
    <row r="786">
      <c r="B786" s="1"/>
      <c r="C786" s="1"/>
      <c r="D786" s="1" t="str">
        <f t="shared" si="1"/>
        <v/>
      </c>
      <c r="F786" s="1"/>
      <c r="G786" s="1"/>
      <c r="H786" s="1" t="str">
        <f t="shared" si="2"/>
        <v/>
      </c>
      <c r="J786" s="274"/>
      <c r="K786" s="72"/>
      <c r="L786" s="72"/>
      <c r="M786" s="72"/>
      <c r="N786" s="72"/>
      <c r="O786" s="72"/>
      <c r="P786" s="72"/>
      <c r="Q786" s="72"/>
      <c r="R786" s="72"/>
      <c r="S786" s="72"/>
      <c r="T786" s="72"/>
      <c r="V786" s="72"/>
      <c r="W786" s="72"/>
      <c r="X786" s="72" t="str">
        <f t="shared" si="3"/>
        <v/>
      </c>
      <c r="Y786" s="72"/>
    </row>
    <row r="787">
      <c r="B787" s="1"/>
      <c r="C787" s="1"/>
      <c r="D787" s="1" t="str">
        <f t="shared" si="1"/>
        <v/>
      </c>
      <c r="F787" s="1"/>
      <c r="G787" s="1"/>
      <c r="H787" s="1" t="str">
        <f t="shared" si="2"/>
        <v/>
      </c>
      <c r="J787" s="274"/>
      <c r="K787" s="72"/>
      <c r="L787" s="72"/>
      <c r="M787" s="72"/>
      <c r="N787" s="72"/>
      <c r="O787" s="72"/>
      <c r="P787" s="72"/>
      <c r="Q787" s="72"/>
      <c r="R787" s="72"/>
      <c r="S787" s="72"/>
      <c r="T787" s="72"/>
      <c r="V787" s="72"/>
      <c r="W787" s="72"/>
      <c r="X787" s="72" t="str">
        <f t="shared" si="3"/>
        <v/>
      </c>
      <c r="Y787" s="72"/>
    </row>
    <row r="788">
      <c r="B788" s="1"/>
      <c r="C788" s="1"/>
      <c r="D788" s="1" t="str">
        <f t="shared" si="1"/>
        <v/>
      </c>
      <c r="F788" s="1"/>
      <c r="G788" s="1"/>
      <c r="H788" s="1" t="str">
        <f t="shared" si="2"/>
        <v/>
      </c>
      <c r="J788" s="274"/>
      <c r="K788" s="72"/>
      <c r="L788" s="72"/>
      <c r="M788" s="72"/>
      <c r="N788" s="72"/>
      <c r="O788" s="72"/>
      <c r="P788" s="72"/>
      <c r="Q788" s="72"/>
      <c r="R788" s="72"/>
      <c r="S788" s="72"/>
      <c r="T788" s="72"/>
      <c r="V788" s="72"/>
      <c r="W788" s="72"/>
      <c r="X788" s="72" t="str">
        <f t="shared" si="3"/>
        <v/>
      </c>
      <c r="Y788" s="72"/>
    </row>
    <row r="789">
      <c r="B789" s="1"/>
      <c r="C789" s="1"/>
      <c r="D789" s="1" t="str">
        <f t="shared" si="1"/>
        <v/>
      </c>
      <c r="F789" s="1"/>
      <c r="G789" s="1"/>
      <c r="H789" s="1" t="str">
        <f t="shared" si="2"/>
        <v/>
      </c>
      <c r="J789" s="274"/>
      <c r="K789" s="72"/>
      <c r="L789" s="72"/>
      <c r="M789" s="72"/>
      <c r="N789" s="72"/>
      <c r="O789" s="72"/>
      <c r="P789" s="72"/>
      <c r="Q789" s="72"/>
      <c r="R789" s="72"/>
      <c r="S789" s="72"/>
      <c r="T789" s="72"/>
      <c r="V789" s="72"/>
      <c r="W789" s="72"/>
      <c r="X789" s="72" t="str">
        <f t="shared" si="3"/>
        <v/>
      </c>
      <c r="Y789" s="72"/>
    </row>
    <row r="790">
      <c r="B790" s="1"/>
      <c r="C790" s="1"/>
      <c r="D790" s="1" t="str">
        <f t="shared" si="1"/>
        <v/>
      </c>
      <c r="F790" s="1"/>
      <c r="G790" s="1"/>
      <c r="H790" s="1" t="str">
        <f t="shared" si="2"/>
        <v/>
      </c>
      <c r="J790" s="274"/>
      <c r="K790" s="72"/>
      <c r="L790" s="72"/>
      <c r="M790" s="72"/>
      <c r="N790" s="72"/>
      <c r="O790" s="72"/>
      <c r="P790" s="72"/>
      <c r="Q790" s="72"/>
      <c r="R790" s="72"/>
      <c r="S790" s="72"/>
      <c r="T790" s="72"/>
      <c r="V790" s="72"/>
      <c r="W790" s="72"/>
      <c r="X790" s="72" t="str">
        <f t="shared" si="3"/>
        <v/>
      </c>
      <c r="Y790" s="72"/>
    </row>
    <row r="791">
      <c r="B791" s="1"/>
      <c r="C791" s="1"/>
      <c r="D791" s="1" t="str">
        <f t="shared" si="1"/>
        <v/>
      </c>
      <c r="F791" s="1"/>
      <c r="G791" s="1"/>
      <c r="H791" s="1" t="str">
        <f t="shared" si="2"/>
        <v/>
      </c>
      <c r="J791" s="274"/>
      <c r="K791" s="72"/>
      <c r="L791" s="72"/>
      <c r="M791" s="72"/>
      <c r="N791" s="72"/>
      <c r="O791" s="72"/>
      <c r="P791" s="72"/>
      <c r="Q791" s="72"/>
      <c r="R791" s="72"/>
      <c r="S791" s="72"/>
      <c r="T791" s="72"/>
      <c r="V791" s="72"/>
      <c r="W791" s="72"/>
      <c r="X791" s="72" t="str">
        <f t="shared" si="3"/>
        <v/>
      </c>
      <c r="Y791" s="72"/>
    </row>
    <row r="792">
      <c r="B792" s="1"/>
      <c r="C792" s="1"/>
      <c r="D792" s="1" t="str">
        <f t="shared" si="1"/>
        <v/>
      </c>
      <c r="F792" s="1"/>
      <c r="G792" s="1"/>
      <c r="H792" s="1" t="str">
        <f t="shared" si="2"/>
        <v/>
      </c>
      <c r="J792" s="274"/>
      <c r="K792" s="72"/>
      <c r="L792" s="72"/>
      <c r="M792" s="72"/>
      <c r="N792" s="72"/>
      <c r="O792" s="72"/>
      <c r="P792" s="72"/>
      <c r="Q792" s="72"/>
      <c r="R792" s="72"/>
      <c r="S792" s="72"/>
      <c r="T792" s="72"/>
      <c r="V792" s="72"/>
      <c r="W792" s="72"/>
      <c r="X792" s="72" t="str">
        <f t="shared" si="3"/>
        <v/>
      </c>
      <c r="Y792" s="72"/>
    </row>
    <row r="793">
      <c r="B793" s="1"/>
      <c r="C793" s="1"/>
      <c r="D793" s="1" t="str">
        <f t="shared" si="1"/>
        <v/>
      </c>
      <c r="F793" s="1"/>
      <c r="G793" s="1"/>
      <c r="H793" s="1" t="str">
        <f t="shared" si="2"/>
        <v/>
      </c>
      <c r="J793" s="274"/>
      <c r="K793" s="72"/>
      <c r="L793" s="72"/>
      <c r="M793" s="72"/>
      <c r="N793" s="72"/>
      <c r="O793" s="72"/>
      <c r="P793" s="72"/>
      <c r="Q793" s="72"/>
      <c r="R793" s="72"/>
      <c r="S793" s="72"/>
      <c r="T793" s="72"/>
      <c r="V793" s="72"/>
      <c r="W793" s="72"/>
      <c r="X793" s="72" t="str">
        <f t="shared" si="3"/>
        <v/>
      </c>
      <c r="Y793" s="72"/>
    </row>
    <row r="794">
      <c r="B794" s="1"/>
      <c r="C794" s="1"/>
      <c r="D794" s="1" t="str">
        <f t="shared" si="1"/>
        <v/>
      </c>
      <c r="F794" s="1"/>
      <c r="G794" s="1"/>
      <c r="H794" s="1" t="str">
        <f t="shared" si="2"/>
        <v/>
      </c>
      <c r="J794" s="274"/>
      <c r="K794" s="72"/>
      <c r="L794" s="72"/>
      <c r="M794" s="72"/>
      <c r="N794" s="72"/>
      <c r="O794" s="72"/>
      <c r="P794" s="72"/>
      <c r="Q794" s="72"/>
      <c r="R794" s="72"/>
      <c r="S794" s="72"/>
      <c r="T794" s="72"/>
      <c r="V794" s="72"/>
      <c r="W794" s="72"/>
      <c r="X794" s="72" t="str">
        <f t="shared" si="3"/>
        <v/>
      </c>
      <c r="Y794" s="72"/>
    </row>
    <row r="795">
      <c r="B795" s="1"/>
      <c r="C795" s="1"/>
      <c r="D795" s="1" t="str">
        <f t="shared" si="1"/>
        <v/>
      </c>
      <c r="F795" s="1"/>
      <c r="G795" s="1"/>
      <c r="H795" s="1" t="str">
        <f t="shared" si="2"/>
        <v/>
      </c>
      <c r="J795" s="274"/>
      <c r="K795" s="72"/>
      <c r="L795" s="72"/>
      <c r="M795" s="72"/>
      <c r="N795" s="72"/>
      <c r="O795" s="72"/>
      <c r="P795" s="72"/>
      <c r="Q795" s="72"/>
      <c r="R795" s="72"/>
      <c r="S795" s="72"/>
      <c r="T795" s="72"/>
      <c r="V795" s="72"/>
      <c r="W795" s="72"/>
      <c r="X795" s="72" t="str">
        <f t="shared" si="3"/>
        <v/>
      </c>
      <c r="Y795" s="72"/>
    </row>
    <row r="796">
      <c r="B796" s="1"/>
      <c r="C796" s="1"/>
      <c r="D796" s="1" t="str">
        <f t="shared" si="1"/>
        <v/>
      </c>
      <c r="F796" s="1"/>
      <c r="G796" s="1"/>
      <c r="H796" s="1" t="str">
        <f t="shared" si="2"/>
        <v/>
      </c>
      <c r="J796" s="274"/>
      <c r="K796" s="72"/>
      <c r="L796" s="72"/>
      <c r="M796" s="72"/>
      <c r="N796" s="72"/>
      <c r="O796" s="72"/>
      <c r="P796" s="72"/>
      <c r="Q796" s="72"/>
      <c r="R796" s="72"/>
      <c r="S796" s="72"/>
      <c r="T796" s="72"/>
      <c r="V796" s="72"/>
      <c r="W796" s="72"/>
      <c r="X796" s="72" t="str">
        <f t="shared" si="3"/>
        <v/>
      </c>
      <c r="Y796" s="72"/>
    </row>
    <row r="797">
      <c r="B797" s="1"/>
      <c r="C797" s="1"/>
      <c r="D797" s="1" t="str">
        <f t="shared" si="1"/>
        <v/>
      </c>
      <c r="F797" s="1"/>
      <c r="G797" s="1"/>
      <c r="H797" s="1" t="str">
        <f t="shared" si="2"/>
        <v/>
      </c>
      <c r="J797" s="274"/>
      <c r="K797" s="72"/>
      <c r="L797" s="72"/>
      <c r="M797" s="72"/>
      <c r="N797" s="72"/>
      <c r="O797" s="72"/>
      <c r="P797" s="72"/>
      <c r="Q797" s="72"/>
      <c r="R797" s="72"/>
      <c r="S797" s="72"/>
      <c r="T797" s="72"/>
      <c r="V797" s="72"/>
      <c r="W797" s="72"/>
      <c r="X797" s="72" t="str">
        <f t="shared" si="3"/>
        <v/>
      </c>
      <c r="Y797" s="72"/>
    </row>
    <row r="798">
      <c r="B798" s="1"/>
      <c r="C798" s="1"/>
      <c r="D798" s="1" t="str">
        <f t="shared" si="1"/>
        <v/>
      </c>
      <c r="F798" s="1"/>
      <c r="G798" s="1"/>
      <c r="H798" s="1" t="str">
        <f t="shared" si="2"/>
        <v/>
      </c>
      <c r="J798" s="274"/>
      <c r="K798" s="72"/>
      <c r="L798" s="72"/>
      <c r="M798" s="72"/>
      <c r="N798" s="72"/>
      <c r="O798" s="72"/>
      <c r="P798" s="72"/>
      <c r="Q798" s="72"/>
      <c r="R798" s="72"/>
      <c r="S798" s="72"/>
      <c r="T798" s="72"/>
      <c r="V798" s="72"/>
      <c r="W798" s="72"/>
      <c r="X798" s="72" t="str">
        <f t="shared" si="3"/>
        <v/>
      </c>
      <c r="Y798" s="72"/>
    </row>
    <row r="799">
      <c r="B799" s="1"/>
      <c r="C799" s="1"/>
      <c r="D799" s="1" t="str">
        <f t="shared" si="1"/>
        <v/>
      </c>
      <c r="F799" s="1"/>
      <c r="G799" s="1"/>
      <c r="H799" s="1" t="str">
        <f t="shared" si="2"/>
        <v/>
      </c>
      <c r="J799" s="274"/>
      <c r="K799" s="72"/>
      <c r="L799" s="72"/>
      <c r="M799" s="72"/>
      <c r="N799" s="72"/>
      <c r="O799" s="72"/>
      <c r="P799" s="72"/>
      <c r="Q799" s="72"/>
      <c r="R799" s="72"/>
      <c r="S799" s="72"/>
      <c r="T799" s="72"/>
      <c r="V799" s="72"/>
      <c r="W799" s="72"/>
      <c r="X799" s="72" t="str">
        <f t="shared" si="3"/>
        <v/>
      </c>
      <c r="Y799" s="72"/>
    </row>
    <row r="800">
      <c r="B800" s="1"/>
      <c r="C800" s="1"/>
      <c r="D800" s="1" t="str">
        <f t="shared" si="1"/>
        <v/>
      </c>
      <c r="F800" s="1"/>
      <c r="G800" s="1"/>
      <c r="H800" s="1" t="str">
        <f t="shared" si="2"/>
        <v/>
      </c>
      <c r="J800" s="274"/>
      <c r="K800" s="72"/>
      <c r="L800" s="72"/>
      <c r="M800" s="72"/>
      <c r="N800" s="72"/>
      <c r="O800" s="72"/>
      <c r="P800" s="72"/>
      <c r="Q800" s="72"/>
      <c r="R800" s="72"/>
      <c r="S800" s="72"/>
      <c r="T800" s="72"/>
      <c r="V800" s="72"/>
      <c r="W800" s="72"/>
      <c r="X800" s="72" t="str">
        <f t="shared" si="3"/>
        <v/>
      </c>
      <c r="Y800" s="72"/>
    </row>
    <row r="801">
      <c r="B801" s="1"/>
      <c r="C801" s="1"/>
      <c r="D801" s="1" t="str">
        <f t="shared" si="1"/>
        <v/>
      </c>
      <c r="F801" s="1"/>
      <c r="G801" s="1"/>
      <c r="H801" s="1" t="str">
        <f t="shared" si="2"/>
        <v/>
      </c>
      <c r="J801" s="274"/>
      <c r="K801" s="72"/>
      <c r="L801" s="72"/>
      <c r="M801" s="72"/>
      <c r="N801" s="72"/>
      <c r="O801" s="72"/>
      <c r="P801" s="72"/>
      <c r="Q801" s="72"/>
      <c r="R801" s="72"/>
      <c r="S801" s="72"/>
      <c r="T801" s="72"/>
      <c r="V801" s="72"/>
      <c r="W801" s="72"/>
      <c r="X801" s="72" t="str">
        <f t="shared" si="3"/>
        <v/>
      </c>
      <c r="Y801" s="72"/>
    </row>
    <row r="802">
      <c r="B802" s="1"/>
      <c r="C802" s="1"/>
      <c r="D802" s="1" t="str">
        <f t="shared" si="1"/>
        <v/>
      </c>
      <c r="F802" s="1"/>
      <c r="G802" s="1"/>
      <c r="H802" s="1" t="str">
        <f t="shared" si="2"/>
        <v/>
      </c>
      <c r="J802" s="274"/>
      <c r="K802" s="72"/>
      <c r="L802" s="72"/>
      <c r="M802" s="72"/>
      <c r="N802" s="72"/>
      <c r="O802" s="72"/>
      <c r="P802" s="72"/>
      <c r="Q802" s="72"/>
      <c r="R802" s="72"/>
      <c r="S802" s="72"/>
      <c r="T802" s="72"/>
      <c r="V802" s="72"/>
      <c r="W802" s="72"/>
      <c r="X802" s="72" t="str">
        <f t="shared" si="3"/>
        <v/>
      </c>
      <c r="Y802" s="72"/>
    </row>
    <row r="803">
      <c r="B803" s="1"/>
      <c r="C803" s="1"/>
      <c r="D803" s="1" t="str">
        <f t="shared" si="1"/>
        <v/>
      </c>
      <c r="F803" s="1"/>
      <c r="G803" s="1"/>
      <c r="H803" s="1" t="str">
        <f t="shared" si="2"/>
        <v/>
      </c>
      <c r="J803" s="274"/>
      <c r="K803" s="72"/>
      <c r="L803" s="72"/>
      <c r="M803" s="72"/>
      <c r="N803" s="72"/>
      <c r="O803" s="72"/>
      <c r="P803" s="72"/>
      <c r="Q803" s="72"/>
      <c r="R803" s="72"/>
      <c r="S803" s="72"/>
      <c r="T803" s="72"/>
      <c r="V803" s="72"/>
      <c r="W803" s="72"/>
      <c r="X803" s="72" t="str">
        <f t="shared" si="3"/>
        <v/>
      </c>
      <c r="Y803" s="72"/>
    </row>
    <row r="804">
      <c r="B804" s="1"/>
      <c r="C804" s="1"/>
      <c r="D804" s="1" t="str">
        <f t="shared" si="1"/>
        <v/>
      </c>
      <c r="F804" s="1"/>
      <c r="G804" s="1"/>
      <c r="H804" s="1" t="str">
        <f t="shared" si="2"/>
        <v/>
      </c>
      <c r="J804" s="274"/>
      <c r="K804" s="72"/>
      <c r="L804" s="72"/>
      <c r="M804" s="72"/>
      <c r="N804" s="72"/>
      <c r="O804" s="72"/>
      <c r="P804" s="72"/>
      <c r="Q804" s="72"/>
      <c r="R804" s="72"/>
      <c r="S804" s="72"/>
      <c r="T804" s="72"/>
      <c r="V804" s="72"/>
      <c r="W804" s="72"/>
      <c r="X804" s="72" t="str">
        <f t="shared" si="3"/>
        <v/>
      </c>
      <c r="Y804" s="72"/>
    </row>
    <row r="805">
      <c r="B805" s="1"/>
      <c r="C805" s="1"/>
      <c r="D805" s="1" t="str">
        <f t="shared" si="1"/>
        <v/>
      </c>
      <c r="F805" s="1"/>
      <c r="G805" s="1"/>
      <c r="H805" s="1" t="str">
        <f t="shared" si="2"/>
        <v/>
      </c>
      <c r="J805" s="274"/>
      <c r="K805" s="72"/>
      <c r="L805" s="72"/>
      <c r="M805" s="72"/>
      <c r="N805" s="72"/>
      <c r="O805" s="72"/>
      <c r="P805" s="72"/>
      <c r="Q805" s="72"/>
      <c r="R805" s="72"/>
      <c r="S805" s="72"/>
      <c r="T805" s="72"/>
      <c r="V805" s="72"/>
      <c r="W805" s="72"/>
      <c r="X805" s="72" t="str">
        <f t="shared" si="3"/>
        <v/>
      </c>
      <c r="Y805" s="72"/>
    </row>
    <row r="806">
      <c r="B806" s="1"/>
      <c r="C806" s="1"/>
      <c r="D806" s="1" t="str">
        <f t="shared" si="1"/>
        <v/>
      </c>
      <c r="F806" s="1"/>
      <c r="G806" s="1"/>
      <c r="H806" s="1" t="str">
        <f t="shared" si="2"/>
        <v/>
      </c>
      <c r="J806" s="274"/>
      <c r="K806" s="72"/>
      <c r="L806" s="72"/>
      <c r="M806" s="72"/>
      <c r="N806" s="72"/>
      <c r="O806" s="72"/>
      <c r="P806" s="72"/>
      <c r="Q806" s="72"/>
      <c r="R806" s="72"/>
      <c r="S806" s="72"/>
      <c r="T806" s="72"/>
      <c r="V806" s="72"/>
      <c r="W806" s="72"/>
      <c r="X806" s="72" t="str">
        <f t="shared" si="3"/>
        <v/>
      </c>
      <c r="Y806" s="72"/>
    </row>
    <row r="807">
      <c r="B807" s="1"/>
      <c r="C807" s="1"/>
      <c r="D807" s="1" t="str">
        <f t="shared" si="1"/>
        <v/>
      </c>
      <c r="F807" s="1"/>
      <c r="G807" s="1"/>
      <c r="H807" s="1" t="str">
        <f t="shared" si="2"/>
        <v/>
      </c>
      <c r="J807" s="274"/>
      <c r="K807" s="72"/>
      <c r="L807" s="72"/>
      <c r="M807" s="72"/>
      <c r="N807" s="72"/>
      <c r="O807" s="72"/>
      <c r="P807" s="72"/>
      <c r="Q807" s="72"/>
      <c r="R807" s="72"/>
      <c r="S807" s="72"/>
      <c r="T807" s="72"/>
      <c r="V807" s="72"/>
      <c r="W807" s="72"/>
      <c r="X807" s="72" t="str">
        <f t="shared" si="3"/>
        <v/>
      </c>
      <c r="Y807" s="72"/>
    </row>
    <row r="808">
      <c r="B808" s="1"/>
      <c r="C808" s="1"/>
      <c r="D808" s="1" t="str">
        <f t="shared" si="1"/>
        <v/>
      </c>
      <c r="F808" s="1"/>
      <c r="G808" s="1"/>
      <c r="H808" s="1" t="str">
        <f t="shared" si="2"/>
        <v/>
      </c>
      <c r="J808" s="274"/>
      <c r="K808" s="72"/>
      <c r="L808" s="72"/>
      <c r="M808" s="72"/>
      <c r="N808" s="72"/>
      <c r="O808" s="72"/>
      <c r="P808" s="72"/>
      <c r="Q808" s="72"/>
      <c r="R808" s="72"/>
      <c r="S808" s="72"/>
      <c r="T808" s="72"/>
      <c r="V808" s="72"/>
      <c r="W808" s="72"/>
      <c r="X808" s="72" t="str">
        <f t="shared" si="3"/>
        <v/>
      </c>
      <c r="Y808" s="72"/>
    </row>
    <row r="809">
      <c r="B809" s="1"/>
      <c r="C809" s="1"/>
      <c r="D809" s="1" t="str">
        <f t="shared" si="1"/>
        <v/>
      </c>
      <c r="F809" s="1"/>
      <c r="G809" s="1"/>
      <c r="H809" s="1" t="str">
        <f t="shared" si="2"/>
        <v/>
      </c>
      <c r="J809" s="274"/>
      <c r="K809" s="72"/>
      <c r="L809" s="72"/>
      <c r="M809" s="72"/>
      <c r="N809" s="72"/>
      <c r="O809" s="72"/>
      <c r="P809" s="72"/>
      <c r="Q809" s="72"/>
      <c r="R809" s="72"/>
      <c r="S809" s="72"/>
      <c r="T809" s="72"/>
      <c r="V809" s="72"/>
      <c r="W809" s="72"/>
      <c r="X809" s="72" t="str">
        <f t="shared" si="3"/>
        <v/>
      </c>
      <c r="Y809" s="72"/>
    </row>
    <row r="810">
      <c r="B810" s="1"/>
      <c r="C810" s="1"/>
      <c r="D810" s="1" t="str">
        <f t="shared" si="1"/>
        <v/>
      </c>
      <c r="F810" s="1"/>
      <c r="G810" s="1"/>
      <c r="H810" s="1" t="str">
        <f t="shared" si="2"/>
        <v/>
      </c>
      <c r="J810" s="274"/>
      <c r="K810" s="72"/>
      <c r="L810" s="72"/>
      <c r="M810" s="72"/>
      <c r="N810" s="72"/>
      <c r="O810" s="72"/>
      <c r="P810" s="72"/>
      <c r="Q810" s="72"/>
      <c r="R810" s="72"/>
      <c r="S810" s="72"/>
      <c r="T810" s="72"/>
      <c r="V810" s="72"/>
      <c r="W810" s="72"/>
      <c r="X810" s="72" t="str">
        <f t="shared" si="3"/>
        <v/>
      </c>
      <c r="Y810" s="72"/>
    </row>
    <row r="811">
      <c r="B811" s="1"/>
      <c r="C811" s="1"/>
      <c r="D811" s="1" t="str">
        <f t="shared" si="1"/>
        <v/>
      </c>
      <c r="F811" s="1"/>
      <c r="G811" s="1"/>
      <c r="H811" s="1" t="str">
        <f t="shared" si="2"/>
        <v/>
      </c>
      <c r="J811" s="274"/>
      <c r="K811" s="72"/>
      <c r="L811" s="72"/>
      <c r="M811" s="72"/>
      <c r="N811" s="72"/>
      <c r="O811" s="72"/>
      <c r="P811" s="72"/>
      <c r="Q811" s="72"/>
      <c r="R811" s="72"/>
      <c r="S811" s="72"/>
      <c r="T811" s="72"/>
      <c r="V811" s="72"/>
      <c r="W811" s="72"/>
      <c r="X811" s="72" t="str">
        <f t="shared" si="3"/>
        <v/>
      </c>
      <c r="Y811" s="72"/>
    </row>
    <row r="812">
      <c r="B812" s="1"/>
      <c r="C812" s="1"/>
      <c r="D812" s="1" t="str">
        <f t="shared" si="1"/>
        <v/>
      </c>
      <c r="F812" s="1"/>
      <c r="G812" s="1"/>
      <c r="H812" s="1" t="str">
        <f t="shared" si="2"/>
        <v/>
      </c>
      <c r="J812" s="274"/>
      <c r="K812" s="72"/>
      <c r="L812" s="72"/>
      <c r="M812" s="72"/>
      <c r="N812" s="72"/>
      <c r="O812" s="72"/>
      <c r="P812" s="72"/>
      <c r="Q812" s="72"/>
      <c r="R812" s="72"/>
      <c r="S812" s="72"/>
      <c r="T812" s="72"/>
      <c r="V812" s="72"/>
      <c r="W812" s="72"/>
      <c r="X812" s="72" t="str">
        <f t="shared" si="3"/>
        <v/>
      </c>
      <c r="Y812" s="72"/>
    </row>
    <row r="813">
      <c r="B813" s="1"/>
      <c r="C813" s="1"/>
      <c r="D813" s="1" t="str">
        <f t="shared" si="1"/>
        <v/>
      </c>
      <c r="F813" s="1"/>
      <c r="G813" s="1"/>
      <c r="H813" s="1" t="str">
        <f t="shared" si="2"/>
        <v/>
      </c>
      <c r="J813" s="274"/>
      <c r="K813" s="72"/>
      <c r="L813" s="72"/>
      <c r="M813" s="72"/>
      <c r="N813" s="72"/>
      <c r="O813" s="72"/>
      <c r="P813" s="72"/>
      <c r="Q813" s="72"/>
      <c r="R813" s="72"/>
      <c r="S813" s="72"/>
      <c r="T813" s="72"/>
      <c r="V813" s="72"/>
      <c r="W813" s="72"/>
      <c r="X813" s="72" t="str">
        <f t="shared" si="3"/>
        <v/>
      </c>
      <c r="Y813" s="72"/>
    </row>
    <row r="814">
      <c r="B814" s="1"/>
      <c r="C814" s="1"/>
      <c r="D814" s="1" t="str">
        <f t="shared" si="1"/>
        <v/>
      </c>
      <c r="F814" s="1"/>
      <c r="G814" s="1"/>
      <c r="H814" s="1" t="str">
        <f t="shared" si="2"/>
        <v/>
      </c>
      <c r="J814" s="274"/>
      <c r="K814" s="72"/>
      <c r="L814" s="72"/>
      <c r="M814" s="72"/>
      <c r="N814" s="72"/>
      <c r="O814" s="72"/>
      <c r="P814" s="72"/>
      <c r="Q814" s="72"/>
      <c r="R814" s="72"/>
      <c r="S814" s="72"/>
      <c r="T814" s="72"/>
      <c r="V814" s="72"/>
      <c r="W814" s="72"/>
      <c r="X814" s="72" t="str">
        <f t="shared" si="3"/>
        <v/>
      </c>
      <c r="Y814" s="72"/>
    </row>
    <row r="815">
      <c r="B815" s="1"/>
      <c r="C815" s="1"/>
      <c r="D815" s="1" t="str">
        <f t="shared" si="1"/>
        <v/>
      </c>
      <c r="F815" s="1"/>
      <c r="G815" s="1"/>
      <c r="H815" s="1" t="str">
        <f t="shared" si="2"/>
        <v/>
      </c>
      <c r="J815" s="274"/>
      <c r="K815" s="72"/>
      <c r="L815" s="72"/>
      <c r="M815" s="72"/>
      <c r="N815" s="72"/>
      <c r="O815" s="72"/>
      <c r="P815" s="72"/>
      <c r="Q815" s="72"/>
      <c r="R815" s="72"/>
      <c r="S815" s="72"/>
      <c r="T815" s="72"/>
      <c r="V815" s="72"/>
      <c r="W815" s="72"/>
      <c r="X815" s="72" t="str">
        <f t="shared" si="3"/>
        <v/>
      </c>
      <c r="Y815" s="72"/>
    </row>
    <row r="816">
      <c r="B816" s="1"/>
      <c r="C816" s="1"/>
      <c r="D816" s="1" t="str">
        <f t="shared" si="1"/>
        <v/>
      </c>
      <c r="F816" s="1"/>
      <c r="G816" s="1"/>
      <c r="H816" s="1" t="str">
        <f t="shared" si="2"/>
        <v/>
      </c>
      <c r="J816" s="274"/>
      <c r="K816" s="72"/>
      <c r="L816" s="72"/>
      <c r="M816" s="72"/>
      <c r="N816" s="72"/>
      <c r="O816" s="72"/>
      <c r="P816" s="72"/>
      <c r="Q816" s="72"/>
      <c r="R816" s="72"/>
      <c r="S816" s="72"/>
      <c r="T816" s="72"/>
      <c r="V816" s="72"/>
      <c r="W816" s="72"/>
      <c r="X816" s="72" t="str">
        <f t="shared" si="3"/>
        <v/>
      </c>
      <c r="Y816" s="72"/>
    </row>
    <row r="817">
      <c r="B817" s="1"/>
      <c r="C817" s="1"/>
      <c r="D817" s="1" t="str">
        <f t="shared" si="1"/>
        <v/>
      </c>
      <c r="F817" s="1"/>
      <c r="G817" s="1"/>
      <c r="H817" s="1" t="str">
        <f t="shared" si="2"/>
        <v/>
      </c>
      <c r="J817" s="274"/>
      <c r="K817" s="72"/>
      <c r="L817" s="72"/>
      <c r="M817" s="72"/>
      <c r="N817" s="72"/>
      <c r="O817" s="72"/>
      <c r="P817" s="72"/>
      <c r="Q817" s="72"/>
      <c r="R817" s="72"/>
      <c r="S817" s="72"/>
      <c r="T817" s="72"/>
      <c r="V817" s="72"/>
      <c r="W817" s="72"/>
      <c r="X817" s="72" t="str">
        <f t="shared" si="3"/>
        <v/>
      </c>
      <c r="Y817" s="72"/>
    </row>
    <row r="818">
      <c r="B818" s="1"/>
      <c r="C818" s="1"/>
      <c r="D818" s="1" t="str">
        <f t="shared" si="1"/>
        <v/>
      </c>
      <c r="F818" s="1"/>
      <c r="G818" s="1"/>
      <c r="H818" s="1" t="str">
        <f t="shared" si="2"/>
        <v/>
      </c>
      <c r="J818" s="274"/>
      <c r="K818" s="72"/>
      <c r="L818" s="72"/>
      <c r="M818" s="72"/>
      <c r="N818" s="72"/>
      <c r="O818" s="72"/>
      <c r="P818" s="72"/>
      <c r="Q818" s="72"/>
      <c r="R818" s="72"/>
      <c r="S818" s="72"/>
      <c r="T818" s="72"/>
      <c r="V818" s="72"/>
      <c r="W818" s="72"/>
      <c r="X818" s="72" t="str">
        <f t="shared" si="3"/>
        <v/>
      </c>
      <c r="Y818" s="72"/>
    </row>
    <row r="819">
      <c r="B819" s="1"/>
      <c r="C819" s="1"/>
      <c r="D819" s="1" t="str">
        <f t="shared" si="1"/>
        <v/>
      </c>
      <c r="F819" s="1"/>
      <c r="G819" s="1"/>
      <c r="H819" s="1" t="str">
        <f t="shared" si="2"/>
        <v/>
      </c>
      <c r="J819" s="274"/>
      <c r="K819" s="72"/>
      <c r="L819" s="72"/>
      <c r="M819" s="72"/>
      <c r="N819" s="72"/>
      <c r="O819" s="72"/>
      <c r="P819" s="72"/>
      <c r="Q819" s="72"/>
      <c r="R819" s="72"/>
      <c r="S819" s="72"/>
      <c r="T819" s="72"/>
      <c r="V819" s="72"/>
      <c r="W819" s="72"/>
      <c r="X819" s="72" t="str">
        <f t="shared" si="3"/>
        <v/>
      </c>
      <c r="Y819" s="72"/>
    </row>
    <row r="820">
      <c r="B820" s="1"/>
      <c r="C820" s="1"/>
      <c r="D820" s="1" t="str">
        <f t="shared" si="1"/>
        <v/>
      </c>
      <c r="F820" s="1"/>
      <c r="G820" s="1"/>
      <c r="H820" s="1" t="str">
        <f t="shared" si="2"/>
        <v/>
      </c>
      <c r="J820" s="274"/>
      <c r="K820" s="72"/>
      <c r="L820" s="72"/>
      <c r="M820" s="72"/>
      <c r="N820" s="72"/>
      <c r="O820" s="72"/>
      <c r="P820" s="72"/>
      <c r="Q820" s="72"/>
      <c r="R820" s="72"/>
      <c r="S820" s="72"/>
      <c r="T820" s="72"/>
      <c r="V820" s="72"/>
      <c r="W820" s="72"/>
      <c r="X820" s="72" t="str">
        <f t="shared" si="3"/>
        <v/>
      </c>
      <c r="Y820" s="72"/>
    </row>
    <row r="821">
      <c r="B821" s="1"/>
      <c r="C821" s="1"/>
      <c r="D821" s="1" t="str">
        <f t="shared" si="1"/>
        <v/>
      </c>
      <c r="F821" s="1"/>
      <c r="G821" s="1"/>
      <c r="H821" s="1" t="str">
        <f t="shared" si="2"/>
        <v/>
      </c>
      <c r="J821" s="274"/>
      <c r="K821" s="72"/>
      <c r="L821" s="72"/>
      <c r="M821" s="72"/>
      <c r="N821" s="72"/>
      <c r="O821" s="72"/>
      <c r="P821" s="72"/>
      <c r="Q821" s="72"/>
      <c r="R821" s="72"/>
      <c r="S821" s="72"/>
      <c r="T821" s="72"/>
      <c r="V821" s="72"/>
      <c r="W821" s="72"/>
      <c r="X821" s="72" t="str">
        <f t="shared" si="3"/>
        <v/>
      </c>
      <c r="Y821" s="72"/>
    </row>
    <row r="822">
      <c r="B822" s="1"/>
      <c r="C822" s="1"/>
      <c r="D822" s="1" t="str">
        <f t="shared" si="1"/>
        <v/>
      </c>
      <c r="F822" s="1"/>
      <c r="G822" s="1"/>
      <c r="H822" s="1" t="str">
        <f t="shared" si="2"/>
        <v/>
      </c>
      <c r="J822" s="274"/>
      <c r="K822" s="72"/>
      <c r="L822" s="72"/>
      <c r="M822" s="72"/>
      <c r="N822" s="72"/>
      <c r="O822" s="72"/>
      <c r="P822" s="72"/>
      <c r="Q822" s="72"/>
      <c r="R822" s="72"/>
      <c r="S822" s="72"/>
      <c r="T822" s="72"/>
      <c r="V822" s="72"/>
      <c r="W822" s="72"/>
      <c r="X822" s="72" t="str">
        <f t="shared" si="3"/>
        <v/>
      </c>
      <c r="Y822" s="72"/>
    </row>
    <row r="823">
      <c r="B823" s="1"/>
      <c r="C823" s="1"/>
      <c r="D823" s="1" t="str">
        <f t="shared" si="1"/>
        <v/>
      </c>
      <c r="F823" s="1"/>
      <c r="G823" s="1"/>
      <c r="H823" s="1" t="str">
        <f t="shared" si="2"/>
        <v/>
      </c>
      <c r="J823" s="274"/>
      <c r="K823" s="72"/>
      <c r="L823" s="72"/>
      <c r="M823" s="72"/>
      <c r="N823" s="72"/>
      <c r="O823" s="72"/>
      <c r="P823" s="72"/>
      <c r="Q823" s="72"/>
      <c r="R823" s="72"/>
      <c r="S823" s="72"/>
      <c r="T823" s="72"/>
      <c r="V823" s="72"/>
      <c r="W823" s="72"/>
      <c r="X823" s="72" t="str">
        <f t="shared" si="3"/>
        <v/>
      </c>
      <c r="Y823" s="72"/>
    </row>
    <row r="824">
      <c r="B824" s="1"/>
      <c r="C824" s="1"/>
      <c r="D824" s="1" t="str">
        <f t="shared" si="1"/>
        <v/>
      </c>
      <c r="F824" s="1"/>
      <c r="G824" s="1"/>
      <c r="H824" s="1" t="str">
        <f t="shared" si="2"/>
        <v/>
      </c>
      <c r="J824" s="274"/>
      <c r="K824" s="72"/>
      <c r="L824" s="72"/>
      <c r="M824" s="72"/>
      <c r="N824" s="72"/>
      <c r="O824" s="72"/>
      <c r="P824" s="72"/>
      <c r="Q824" s="72"/>
      <c r="R824" s="72"/>
      <c r="S824" s="72"/>
      <c r="T824" s="72"/>
      <c r="V824" s="72"/>
      <c r="W824" s="72"/>
      <c r="X824" s="72" t="str">
        <f t="shared" si="3"/>
        <v/>
      </c>
      <c r="Y824" s="72"/>
    </row>
    <row r="825">
      <c r="B825" s="1"/>
      <c r="C825" s="1"/>
      <c r="D825" s="1" t="str">
        <f t="shared" si="1"/>
        <v/>
      </c>
      <c r="F825" s="1"/>
      <c r="G825" s="1"/>
      <c r="H825" s="1" t="str">
        <f t="shared" si="2"/>
        <v/>
      </c>
      <c r="J825" s="274"/>
      <c r="K825" s="72"/>
      <c r="L825" s="72"/>
      <c r="M825" s="72"/>
      <c r="N825" s="72"/>
      <c r="O825" s="72"/>
      <c r="P825" s="72"/>
      <c r="Q825" s="72"/>
      <c r="R825" s="72"/>
      <c r="S825" s="72"/>
      <c r="T825" s="72"/>
      <c r="V825" s="72"/>
      <c r="W825" s="72"/>
      <c r="X825" s="72" t="str">
        <f t="shared" si="3"/>
        <v/>
      </c>
      <c r="Y825" s="72"/>
    </row>
    <row r="826">
      <c r="B826" s="1"/>
      <c r="C826" s="1"/>
      <c r="D826" s="1" t="str">
        <f t="shared" si="1"/>
        <v/>
      </c>
      <c r="F826" s="1"/>
      <c r="G826" s="1"/>
      <c r="H826" s="1" t="str">
        <f t="shared" si="2"/>
        <v/>
      </c>
      <c r="J826" s="274"/>
      <c r="K826" s="72"/>
      <c r="L826" s="72"/>
      <c r="M826" s="72"/>
      <c r="N826" s="72"/>
      <c r="O826" s="72"/>
      <c r="P826" s="72"/>
      <c r="Q826" s="72"/>
      <c r="R826" s="72"/>
      <c r="S826" s="72"/>
      <c r="T826" s="72"/>
      <c r="V826" s="72"/>
      <c r="W826" s="72"/>
      <c r="X826" s="72" t="str">
        <f t="shared" si="3"/>
        <v/>
      </c>
      <c r="Y826" s="72"/>
    </row>
    <row r="827">
      <c r="B827" s="1"/>
      <c r="C827" s="1"/>
      <c r="D827" s="1" t="str">
        <f t="shared" si="1"/>
        <v/>
      </c>
      <c r="F827" s="1"/>
      <c r="G827" s="1"/>
      <c r="H827" s="1" t="str">
        <f t="shared" si="2"/>
        <v/>
      </c>
      <c r="J827" s="274"/>
      <c r="K827" s="72"/>
      <c r="L827" s="72"/>
      <c r="M827" s="72"/>
      <c r="N827" s="72"/>
      <c r="O827" s="72"/>
      <c r="P827" s="72"/>
      <c r="Q827" s="72"/>
      <c r="R827" s="72"/>
      <c r="S827" s="72"/>
      <c r="T827" s="72"/>
      <c r="V827" s="72"/>
      <c r="W827" s="72"/>
      <c r="X827" s="72" t="str">
        <f t="shared" si="3"/>
        <v/>
      </c>
      <c r="Y827" s="72"/>
    </row>
    <row r="828">
      <c r="B828" s="1"/>
      <c r="C828" s="1"/>
      <c r="D828" s="1" t="str">
        <f t="shared" si="1"/>
        <v/>
      </c>
      <c r="F828" s="1"/>
      <c r="G828" s="1"/>
      <c r="H828" s="1" t="str">
        <f t="shared" si="2"/>
        <v/>
      </c>
      <c r="J828" s="274"/>
      <c r="K828" s="72"/>
      <c r="L828" s="72"/>
      <c r="M828" s="72"/>
      <c r="N828" s="72"/>
      <c r="O828" s="72"/>
      <c r="P828" s="72"/>
      <c r="Q828" s="72"/>
      <c r="R828" s="72"/>
      <c r="S828" s="72"/>
      <c r="T828" s="72"/>
      <c r="V828" s="72"/>
      <c r="W828" s="72"/>
      <c r="X828" s="72" t="str">
        <f t="shared" si="3"/>
        <v/>
      </c>
      <c r="Y828" s="72"/>
    </row>
    <row r="829">
      <c r="B829" s="1"/>
      <c r="C829" s="1"/>
      <c r="D829" s="1" t="str">
        <f t="shared" si="1"/>
        <v/>
      </c>
      <c r="F829" s="1"/>
      <c r="G829" s="1"/>
      <c r="H829" s="1" t="str">
        <f t="shared" si="2"/>
        <v/>
      </c>
      <c r="J829" s="274"/>
      <c r="K829" s="72"/>
      <c r="L829" s="72"/>
      <c r="M829" s="72"/>
      <c r="N829" s="72"/>
      <c r="O829" s="72"/>
      <c r="P829" s="72"/>
      <c r="Q829" s="72"/>
      <c r="R829" s="72"/>
      <c r="S829" s="72"/>
      <c r="T829" s="72"/>
      <c r="V829" s="72"/>
      <c r="W829" s="72"/>
      <c r="X829" s="72" t="str">
        <f t="shared" si="3"/>
        <v/>
      </c>
      <c r="Y829" s="72"/>
    </row>
    <row r="830">
      <c r="B830" s="1"/>
      <c r="C830" s="1"/>
      <c r="D830" s="1" t="str">
        <f t="shared" si="1"/>
        <v/>
      </c>
      <c r="F830" s="1"/>
      <c r="G830" s="1"/>
      <c r="H830" s="1" t="str">
        <f t="shared" si="2"/>
        <v/>
      </c>
      <c r="J830" s="274"/>
      <c r="K830" s="72"/>
      <c r="L830" s="72"/>
      <c r="M830" s="72"/>
      <c r="N830" s="72"/>
      <c r="O830" s="72"/>
      <c r="P830" s="72"/>
      <c r="Q830" s="72"/>
      <c r="R830" s="72"/>
      <c r="S830" s="72"/>
      <c r="T830" s="72"/>
      <c r="V830" s="72"/>
      <c r="W830" s="72"/>
      <c r="X830" s="72" t="str">
        <f t="shared" si="3"/>
        <v/>
      </c>
      <c r="Y830" s="72"/>
    </row>
    <row r="831">
      <c r="B831" s="1"/>
      <c r="C831" s="1"/>
      <c r="D831" s="1" t="str">
        <f t="shared" si="1"/>
        <v/>
      </c>
      <c r="F831" s="1"/>
      <c r="G831" s="1"/>
      <c r="H831" s="1" t="str">
        <f t="shared" si="2"/>
        <v/>
      </c>
      <c r="J831" s="274"/>
      <c r="K831" s="72"/>
      <c r="L831" s="72"/>
      <c r="M831" s="72"/>
      <c r="N831" s="72"/>
      <c r="O831" s="72"/>
      <c r="P831" s="72"/>
      <c r="Q831" s="72"/>
      <c r="R831" s="72"/>
      <c r="S831" s="72"/>
      <c r="T831" s="72"/>
      <c r="V831" s="72"/>
      <c r="W831" s="72"/>
      <c r="X831" s="72" t="str">
        <f t="shared" si="3"/>
        <v/>
      </c>
      <c r="Y831" s="72"/>
    </row>
    <row r="832">
      <c r="B832" s="1"/>
      <c r="C832" s="1"/>
      <c r="D832" s="1" t="str">
        <f t="shared" si="1"/>
        <v/>
      </c>
      <c r="F832" s="1"/>
      <c r="G832" s="1"/>
      <c r="H832" s="1" t="str">
        <f t="shared" si="2"/>
        <v/>
      </c>
      <c r="J832" s="274"/>
      <c r="K832" s="72"/>
      <c r="L832" s="72"/>
      <c r="M832" s="72"/>
      <c r="N832" s="72"/>
      <c r="O832" s="72"/>
      <c r="P832" s="72"/>
      <c r="Q832" s="72"/>
      <c r="R832" s="72"/>
      <c r="S832" s="72"/>
      <c r="T832" s="72"/>
      <c r="V832" s="72"/>
      <c r="W832" s="72"/>
      <c r="X832" s="72" t="str">
        <f t="shared" si="3"/>
        <v/>
      </c>
      <c r="Y832" s="72"/>
    </row>
    <row r="833">
      <c r="B833" s="1"/>
      <c r="C833" s="1"/>
      <c r="D833" s="1" t="str">
        <f t="shared" si="1"/>
        <v/>
      </c>
      <c r="F833" s="1"/>
      <c r="G833" s="1"/>
      <c r="H833" s="1" t="str">
        <f t="shared" si="2"/>
        <v/>
      </c>
      <c r="J833" s="274"/>
      <c r="K833" s="72"/>
      <c r="L833" s="72"/>
      <c r="M833" s="72"/>
      <c r="N833" s="72"/>
      <c r="O833" s="72"/>
      <c r="P833" s="72"/>
      <c r="Q833" s="72"/>
      <c r="R833" s="72"/>
      <c r="S833" s="72"/>
      <c r="T833" s="72"/>
      <c r="V833" s="72"/>
      <c r="W833" s="72"/>
      <c r="X833" s="72" t="str">
        <f t="shared" si="3"/>
        <v/>
      </c>
      <c r="Y833" s="72"/>
    </row>
    <row r="834">
      <c r="B834" s="1"/>
      <c r="C834" s="1"/>
      <c r="D834" s="1" t="str">
        <f t="shared" si="1"/>
        <v/>
      </c>
      <c r="F834" s="1"/>
      <c r="G834" s="1"/>
      <c r="H834" s="1" t="str">
        <f t="shared" si="2"/>
        <v/>
      </c>
      <c r="J834" s="274"/>
      <c r="K834" s="72"/>
      <c r="L834" s="72"/>
      <c r="M834" s="72"/>
      <c r="N834" s="72"/>
      <c r="O834" s="72"/>
      <c r="P834" s="72"/>
      <c r="Q834" s="72"/>
      <c r="R834" s="72"/>
      <c r="S834" s="72"/>
      <c r="T834" s="72"/>
      <c r="V834" s="72"/>
      <c r="W834" s="72"/>
      <c r="X834" s="72" t="str">
        <f t="shared" si="3"/>
        <v/>
      </c>
      <c r="Y834" s="72"/>
    </row>
    <row r="835">
      <c r="B835" s="1"/>
      <c r="C835" s="1"/>
      <c r="D835" s="1" t="str">
        <f t="shared" si="1"/>
        <v/>
      </c>
      <c r="F835" s="1"/>
      <c r="G835" s="1"/>
      <c r="H835" s="1" t="str">
        <f t="shared" si="2"/>
        <v/>
      </c>
      <c r="J835" s="274"/>
      <c r="K835" s="72"/>
      <c r="L835" s="72"/>
      <c r="M835" s="72"/>
      <c r="N835" s="72"/>
      <c r="O835" s="72"/>
      <c r="P835" s="72"/>
      <c r="Q835" s="72"/>
      <c r="R835" s="72"/>
      <c r="S835" s="72"/>
      <c r="T835" s="72"/>
      <c r="V835" s="72"/>
      <c r="W835" s="72"/>
      <c r="X835" s="72" t="str">
        <f t="shared" si="3"/>
        <v/>
      </c>
      <c r="Y835" s="72"/>
    </row>
    <row r="836">
      <c r="B836" s="1"/>
      <c r="C836" s="1"/>
      <c r="D836" s="1" t="str">
        <f t="shared" si="1"/>
        <v/>
      </c>
      <c r="F836" s="1"/>
      <c r="G836" s="1"/>
      <c r="H836" s="1" t="str">
        <f t="shared" si="2"/>
        <v/>
      </c>
      <c r="J836" s="274"/>
      <c r="K836" s="72"/>
      <c r="L836" s="72"/>
      <c r="M836" s="72"/>
      <c r="N836" s="72"/>
      <c r="O836" s="72"/>
      <c r="P836" s="72"/>
      <c r="Q836" s="72"/>
      <c r="R836" s="72"/>
      <c r="S836" s="72"/>
      <c r="T836" s="72"/>
      <c r="V836" s="72"/>
      <c r="W836" s="72"/>
      <c r="X836" s="72" t="str">
        <f t="shared" si="3"/>
        <v/>
      </c>
      <c r="Y836" s="72"/>
    </row>
    <row r="837">
      <c r="B837" s="1"/>
      <c r="C837" s="1"/>
      <c r="D837" s="1" t="str">
        <f t="shared" si="1"/>
        <v/>
      </c>
      <c r="F837" s="1"/>
      <c r="G837" s="1"/>
      <c r="H837" s="1" t="str">
        <f t="shared" si="2"/>
        <v/>
      </c>
      <c r="J837" s="274"/>
      <c r="K837" s="72"/>
      <c r="L837" s="72"/>
      <c r="M837" s="72"/>
      <c r="N837" s="72"/>
      <c r="O837" s="72"/>
      <c r="P837" s="72"/>
      <c r="Q837" s="72"/>
      <c r="R837" s="72"/>
      <c r="S837" s="72"/>
      <c r="T837" s="72"/>
      <c r="V837" s="72"/>
      <c r="W837" s="72"/>
      <c r="X837" s="72" t="str">
        <f t="shared" si="3"/>
        <v/>
      </c>
      <c r="Y837" s="72"/>
    </row>
    <row r="838">
      <c r="B838" s="1"/>
      <c r="C838" s="1"/>
      <c r="D838" s="1" t="str">
        <f t="shared" si="1"/>
        <v/>
      </c>
      <c r="F838" s="1"/>
      <c r="G838" s="1"/>
      <c r="H838" s="1" t="str">
        <f t="shared" si="2"/>
        <v/>
      </c>
      <c r="J838" s="274"/>
      <c r="K838" s="72"/>
      <c r="L838" s="72"/>
      <c r="M838" s="72"/>
      <c r="N838" s="72"/>
      <c r="O838" s="72"/>
      <c r="P838" s="72"/>
      <c r="Q838" s="72"/>
      <c r="R838" s="72"/>
      <c r="S838" s="72"/>
      <c r="T838" s="72"/>
      <c r="V838" s="72"/>
      <c r="W838" s="72"/>
      <c r="X838" s="72" t="str">
        <f t="shared" si="3"/>
        <v/>
      </c>
      <c r="Y838" s="72"/>
    </row>
    <row r="839">
      <c r="B839" s="1"/>
      <c r="C839" s="1"/>
      <c r="D839" s="1" t="str">
        <f t="shared" si="1"/>
        <v/>
      </c>
      <c r="F839" s="1"/>
      <c r="G839" s="1"/>
      <c r="H839" s="1" t="str">
        <f t="shared" si="2"/>
        <v/>
      </c>
      <c r="J839" s="274"/>
      <c r="K839" s="72"/>
      <c r="L839" s="72"/>
      <c r="M839" s="72"/>
      <c r="N839" s="72"/>
      <c r="O839" s="72"/>
      <c r="P839" s="72"/>
      <c r="Q839" s="72"/>
      <c r="R839" s="72"/>
      <c r="S839" s="72"/>
      <c r="T839" s="72"/>
      <c r="V839" s="72"/>
      <c r="W839" s="72"/>
      <c r="X839" s="72" t="str">
        <f t="shared" si="3"/>
        <v/>
      </c>
      <c r="Y839" s="72"/>
    </row>
    <row r="840">
      <c r="B840" s="1"/>
      <c r="C840" s="1"/>
      <c r="D840" s="1" t="str">
        <f t="shared" si="1"/>
        <v/>
      </c>
      <c r="F840" s="1"/>
      <c r="G840" s="1"/>
      <c r="H840" s="1" t="str">
        <f t="shared" si="2"/>
        <v/>
      </c>
      <c r="J840" s="274"/>
      <c r="K840" s="72"/>
      <c r="L840" s="72"/>
      <c r="M840" s="72"/>
      <c r="N840" s="72"/>
      <c r="O840" s="72"/>
      <c r="P840" s="72"/>
      <c r="Q840" s="72"/>
      <c r="R840" s="72"/>
      <c r="S840" s="72"/>
      <c r="T840" s="72"/>
      <c r="V840" s="72"/>
      <c r="W840" s="72"/>
      <c r="X840" s="72" t="str">
        <f t="shared" si="3"/>
        <v/>
      </c>
      <c r="Y840" s="72"/>
    </row>
    <row r="841">
      <c r="B841" s="1"/>
      <c r="C841" s="1"/>
      <c r="D841" s="1" t="str">
        <f t="shared" si="1"/>
        <v/>
      </c>
      <c r="F841" s="1"/>
      <c r="G841" s="1"/>
      <c r="H841" s="1" t="str">
        <f t="shared" si="2"/>
        <v/>
      </c>
      <c r="J841" s="274"/>
      <c r="K841" s="72"/>
      <c r="L841" s="72"/>
      <c r="M841" s="72"/>
      <c r="N841" s="72"/>
      <c r="O841" s="72"/>
      <c r="P841" s="72"/>
      <c r="Q841" s="72"/>
      <c r="R841" s="72"/>
      <c r="S841" s="72"/>
      <c r="T841" s="72"/>
      <c r="V841" s="72"/>
      <c r="W841" s="72"/>
      <c r="X841" s="72" t="str">
        <f t="shared" si="3"/>
        <v/>
      </c>
      <c r="Y841" s="72"/>
    </row>
    <row r="842">
      <c r="B842" s="1"/>
      <c r="C842" s="1"/>
      <c r="D842" s="1" t="str">
        <f t="shared" si="1"/>
        <v/>
      </c>
      <c r="F842" s="1"/>
      <c r="G842" s="1"/>
      <c r="H842" s="1" t="str">
        <f t="shared" si="2"/>
        <v/>
      </c>
      <c r="J842" s="274"/>
      <c r="K842" s="72"/>
      <c r="L842" s="72"/>
      <c r="M842" s="72"/>
      <c r="N842" s="72"/>
      <c r="O842" s="72"/>
      <c r="P842" s="72"/>
      <c r="Q842" s="72"/>
      <c r="R842" s="72"/>
      <c r="S842" s="72"/>
      <c r="T842" s="72"/>
      <c r="V842" s="72"/>
      <c r="W842" s="72"/>
      <c r="X842" s="72" t="str">
        <f t="shared" si="3"/>
        <v/>
      </c>
      <c r="Y842" s="72"/>
    </row>
    <row r="843">
      <c r="B843" s="1"/>
      <c r="C843" s="1"/>
      <c r="D843" s="1" t="str">
        <f t="shared" si="1"/>
        <v/>
      </c>
      <c r="F843" s="1"/>
      <c r="G843" s="1"/>
      <c r="H843" s="1" t="str">
        <f t="shared" si="2"/>
        <v/>
      </c>
      <c r="J843" s="274"/>
      <c r="K843" s="72"/>
      <c r="L843" s="72"/>
      <c r="M843" s="72"/>
      <c r="N843" s="72"/>
      <c r="O843" s="72"/>
      <c r="P843" s="72"/>
      <c r="Q843" s="72"/>
      <c r="R843" s="72"/>
      <c r="S843" s="72"/>
      <c r="T843" s="72"/>
      <c r="V843" s="72"/>
      <c r="W843" s="72"/>
      <c r="X843" s="72" t="str">
        <f t="shared" si="3"/>
        <v/>
      </c>
      <c r="Y843" s="72"/>
    </row>
    <row r="844">
      <c r="B844" s="1"/>
      <c r="C844" s="1"/>
      <c r="D844" s="1" t="str">
        <f t="shared" si="1"/>
        <v/>
      </c>
      <c r="F844" s="1"/>
      <c r="G844" s="1"/>
      <c r="H844" s="1" t="str">
        <f t="shared" si="2"/>
        <v/>
      </c>
      <c r="J844" s="274"/>
      <c r="K844" s="72"/>
      <c r="L844" s="72"/>
      <c r="M844" s="72"/>
      <c r="N844" s="72"/>
      <c r="O844" s="72"/>
      <c r="P844" s="72"/>
      <c r="Q844" s="72"/>
      <c r="R844" s="72"/>
      <c r="S844" s="72"/>
      <c r="T844" s="72"/>
      <c r="V844" s="72"/>
      <c r="W844" s="72"/>
      <c r="X844" s="72" t="str">
        <f t="shared" si="3"/>
        <v/>
      </c>
      <c r="Y844" s="72"/>
    </row>
    <row r="845">
      <c r="B845" s="1"/>
      <c r="C845" s="1"/>
      <c r="D845" s="1" t="str">
        <f t="shared" si="1"/>
        <v/>
      </c>
      <c r="F845" s="1"/>
      <c r="G845" s="1"/>
      <c r="H845" s="1" t="str">
        <f t="shared" si="2"/>
        <v/>
      </c>
      <c r="J845" s="274"/>
      <c r="K845" s="72"/>
      <c r="L845" s="72"/>
      <c r="M845" s="72"/>
      <c r="N845" s="72"/>
      <c r="O845" s="72"/>
      <c r="P845" s="72"/>
      <c r="Q845" s="72"/>
      <c r="R845" s="72"/>
      <c r="S845" s="72"/>
      <c r="T845" s="72"/>
      <c r="V845" s="72"/>
      <c r="W845" s="72"/>
      <c r="X845" s="72" t="str">
        <f t="shared" si="3"/>
        <v/>
      </c>
      <c r="Y845" s="72"/>
    </row>
    <row r="846">
      <c r="B846" s="1"/>
      <c r="C846" s="1"/>
      <c r="D846" s="1" t="str">
        <f t="shared" si="1"/>
        <v/>
      </c>
      <c r="F846" s="1"/>
      <c r="G846" s="1"/>
      <c r="H846" s="1" t="str">
        <f t="shared" si="2"/>
        <v/>
      </c>
      <c r="J846" s="274"/>
      <c r="K846" s="72"/>
      <c r="L846" s="72"/>
      <c r="M846" s="72"/>
      <c r="N846" s="72"/>
      <c r="O846" s="72"/>
      <c r="P846" s="72"/>
      <c r="Q846" s="72"/>
      <c r="R846" s="72"/>
      <c r="S846" s="72"/>
      <c r="T846" s="72"/>
      <c r="V846" s="72"/>
      <c r="W846" s="72"/>
      <c r="X846" s="72" t="str">
        <f t="shared" si="3"/>
        <v/>
      </c>
      <c r="Y846" s="72"/>
    </row>
    <row r="847">
      <c r="B847" s="1"/>
      <c r="C847" s="1"/>
      <c r="D847" s="1" t="str">
        <f t="shared" si="1"/>
        <v/>
      </c>
      <c r="F847" s="1"/>
      <c r="G847" s="1"/>
      <c r="H847" s="1" t="str">
        <f t="shared" si="2"/>
        <v/>
      </c>
      <c r="J847" s="274"/>
      <c r="K847" s="72"/>
      <c r="L847" s="72"/>
      <c r="M847" s="72"/>
      <c r="N847" s="72"/>
      <c r="O847" s="72"/>
      <c r="P847" s="72"/>
      <c r="Q847" s="72"/>
      <c r="R847" s="72"/>
      <c r="S847" s="72"/>
      <c r="T847" s="72"/>
      <c r="V847" s="72"/>
      <c r="W847" s="72"/>
      <c r="X847" s="72" t="str">
        <f t="shared" si="3"/>
        <v/>
      </c>
      <c r="Y847" s="72"/>
    </row>
    <row r="848">
      <c r="B848" s="1"/>
      <c r="C848" s="1"/>
      <c r="D848" s="1" t="str">
        <f t="shared" si="1"/>
        <v/>
      </c>
      <c r="F848" s="1"/>
      <c r="G848" s="1"/>
      <c r="H848" s="1" t="str">
        <f t="shared" si="2"/>
        <v/>
      </c>
      <c r="J848" s="274"/>
      <c r="K848" s="72"/>
      <c r="L848" s="72"/>
      <c r="M848" s="72"/>
      <c r="N848" s="72"/>
      <c r="O848" s="72"/>
      <c r="P848" s="72"/>
      <c r="Q848" s="72"/>
      <c r="R848" s="72"/>
      <c r="S848" s="72"/>
      <c r="T848" s="72"/>
      <c r="V848" s="72"/>
      <c r="W848" s="72"/>
      <c r="X848" s="72" t="str">
        <f t="shared" si="3"/>
        <v/>
      </c>
      <c r="Y848" s="72"/>
    </row>
    <row r="849">
      <c r="B849" s="1"/>
      <c r="C849" s="1"/>
      <c r="D849" s="1" t="str">
        <f t="shared" si="1"/>
        <v/>
      </c>
      <c r="F849" s="1"/>
      <c r="G849" s="1"/>
      <c r="H849" s="1" t="str">
        <f t="shared" si="2"/>
        <v/>
      </c>
      <c r="J849" s="274"/>
      <c r="K849" s="72"/>
      <c r="L849" s="72"/>
      <c r="M849" s="72"/>
      <c r="N849" s="72"/>
      <c r="O849" s="72"/>
      <c r="P849" s="72"/>
      <c r="Q849" s="72"/>
      <c r="R849" s="72"/>
      <c r="S849" s="72"/>
      <c r="T849" s="72"/>
      <c r="V849" s="72"/>
      <c r="W849" s="72"/>
      <c r="X849" s="72" t="str">
        <f t="shared" si="3"/>
        <v/>
      </c>
      <c r="Y849" s="72"/>
    </row>
    <row r="850">
      <c r="B850" s="1"/>
      <c r="C850" s="1"/>
      <c r="D850" s="1" t="str">
        <f t="shared" si="1"/>
        <v/>
      </c>
      <c r="F850" s="1"/>
      <c r="G850" s="1"/>
      <c r="H850" s="1" t="str">
        <f t="shared" si="2"/>
        <v/>
      </c>
      <c r="J850" s="274"/>
      <c r="K850" s="72"/>
      <c r="L850" s="72"/>
      <c r="M850" s="72"/>
      <c r="N850" s="72"/>
      <c r="O850" s="72"/>
      <c r="P850" s="72"/>
      <c r="Q850" s="72"/>
      <c r="R850" s="72"/>
      <c r="S850" s="72"/>
      <c r="T850" s="72"/>
      <c r="V850" s="72"/>
      <c r="W850" s="72"/>
      <c r="X850" s="72" t="str">
        <f t="shared" si="3"/>
        <v/>
      </c>
      <c r="Y850" s="72"/>
    </row>
    <row r="851">
      <c r="B851" s="1"/>
      <c r="C851" s="1"/>
      <c r="D851" s="1" t="str">
        <f t="shared" si="1"/>
        <v/>
      </c>
      <c r="F851" s="1"/>
      <c r="G851" s="1"/>
      <c r="H851" s="1" t="str">
        <f t="shared" si="2"/>
        <v/>
      </c>
      <c r="J851" s="274"/>
      <c r="K851" s="72"/>
      <c r="L851" s="72"/>
      <c r="M851" s="72"/>
      <c r="N851" s="72"/>
      <c r="O851" s="72"/>
      <c r="P851" s="72"/>
      <c r="Q851" s="72"/>
      <c r="R851" s="72"/>
      <c r="S851" s="72"/>
      <c r="T851" s="72"/>
      <c r="V851" s="72"/>
      <c r="W851" s="72"/>
      <c r="X851" s="72" t="str">
        <f t="shared" si="3"/>
        <v/>
      </c>
      <c r="Y851" s="72"/>
    </row>
    <row r="852">
      <c r="B852" s="1"/>
      <c r="C852" s="1"/>
      <c r="D852" s="1" t="str">
        <f t="shared" si="1"/>
        <v/>
      </c>
      <c r="F852" s="1"/>
      <c r="G852" s="1"/>
      <c r="H852" s="1" t="str">
        <f t="shared" si="2"/>
        <v/>
      </c>
      <c r="J852" s="274"/>
      <c r="K852" s="72"/>
      <c r="L852" s="72"/>
      <c r="M852" s="72"/>
      <c r="N852" s="72"/>
      <c r="O852" s="72"/>
      <c r="P852" s="72"/>
      <c r="Q852" s="72"/>
      <c r="R852" s="72"/>
      <c r="S852" s="72"/>
      <c r="T852" s="72"/>
      <c r="V852" s="72"/>
      <c r="W852" s="72"/>
      <c r="X852" s="72" t="str">
        <f t="shared" si="3"/>
        <v/>
      </c>
      <c r="Y852" s="72"/>
    </row>
    <row r="853">
      <c r="B853" s="1"/>
      <c r="C853" s="1"/>
      <c r="D853" s="1" t="str">
        <f t="shared" si="1"/>
        <v/>
      </c>
      <c r="F853" s="1"/>
      <c r="G853" s="1"/>
      <c r="H853" s="1" t="str">
        <f t="shared" si="2"/>
        <v/>
      </c>
      <c r="J853" s="274"/>
      <c r="K853" s="72"/>
      <c r="L853" s="72"/>
      <c r="M853" s="72"/>
      <c r="N853" s="72"/>
      <c r="O853" s="72"/>
      <c r="P853" s="72"/>
      <c r="Q853" s="72"/>
      <c r="R853" s="72"/>
      <c r="S853" s="72"/>
      <c r="T853" s="72"/>
      <c r="V853" s="72"/>
      <c r="W853" s="72"/>
      <c r="X853" s="72" t="str">
        <f t="shared" si="3"/>
        <v/>
      </c>
      <c r="Y853" s="72"/>
    </row>
    <row r="854">
      <c r="B854" s="1"/>
      <c r="C854" s="1"/>
      <c r="D854" s="1" t="str">
        <f t="shared" si="1"/>
        <v/>
      </c>
      <c r="F854" s="1"/>
      <c r="G854" s="1"/>
      <c r="H854" s="1" t="str">
        <f t="shared" si="2"/>
        <v/>
      </c>
      <c r="J854" s="274"/>
      <c r="K854" s="72"/>
      <c r="L854" s="72"/>
      <c r="M854" s="72"/>
      <c r="N854" s="72"/>
      <c r="O854" s="72"/>
      <c r="P854" s="72"/>
      <c r="Q854" s="72"/>
      <c r="R854" s="72"/>
      <c r="S854" s="72"/>
      <c r="T854" s="72"/>
      <c r="V854" s="72"/>
      <c r="W854" s="72"/>
      <c r="X854" s="72" t="str">
        <f t="shared" si="3"/>
        <v/>
      </c>
      <c r="Y854" s="72"/>
    </row>
    <row r="855">
      <c r="B855" s="1"/>
      <c r="C855" s="1"/>
      <c r="D855" s="1" t="str">
        <f t="shared" si="1"/>
        <v/>
      </c>
      <c r="F855" s="1"/>
      <c r="G855" s="1"/>
      <c r="H855" s="1" t="str">
        <f t="shared" si="2"/>
        <v/>
      </c>
      <c r="J855" s="274"/>
      <c r="K855" s="72"/>
      <c r="L855" s="72"/>
      <c r="M855" s="72"/>
      <c r="N855" s="72"/>
      <c r="O855" s="72"/>
      <c r="P855" s="72"/>
      <c r="Q855" s="72"/>
      <c r="R855" s="72"/>
      <c r="S855" s="72"/>
      <c r="T855" s="72"/>
      <c r="V855" s="72"/>
      <c r="W855" s="72"/>
      <c r="X855" s="72" t="str">
        <f t="shared" si="3"/>
        <v/>
      </c>
      <c r="Y855" s="72"/>
    </row>
    <row r="856">
      <c r="B856" s="1"/>
      <c r="C856" s="1"/>
      <c r="D856" s="1" t="str">
        <f t="shared" si="1"/>
        <v/>
      </c>
      <c r="F856" s="1"/>
      <c r="G856" s="1"/>
      <c r="H856" s="1" t="str">
        <f t="shared" si="2"/>
        <v/>
      </c>
      <c r="J856" s="274"/>
      <c r="K856" s="72"/>
      <c r="L856" s="72"/>
      <c r="M856" s="72"/>
      <c r="N856" s="72"/>
      <c r="O856" s="72"/>
      <c r="P856" s="72"/>
      <c r="Q856" s="72"/>
      <c r="R856" s="72"/>
      <c r="S856" s="72"/>
      <c r="T856" s="72"/>
      <c r="V856" s="72"/>
      <c r="W856" s="72"/>
      <c r="X856" s="72" t="str">
        <f t="shared" si="3"/>
        <v/>
      </c>
      <c r="Y856" s="72"/>
    </row>
    <row r="857">
      <c r="B857" s="1"/>
      <c r="C857" s="1"/>
      <c r="D857" s="1" t="str">
        <f t="shared" si="1"/>
        <v/>
      </c>
      <c r="F857" s="1"/>
      <c r="G857" s="1"/>
      <c r="H857" s="1" t="str">
        <f t="shared" si="2"/>
        <v/>
      </c>
      <c r="J857" s="274"/>
      <c r="K857" s="72"/>
      <c r="L857" s="72"/>
      <c r="M857" s="72"/>
      <c r="N857" s="72"/>
      <c r="O857" s="72"/>
      <c r="P857" s="72"/>
      <c r="Q857" s="72"/>
      <c r="R857" s="72"/>
      <c r="S857" s="72"/>
      <c r="T857" s="72"/>
      <c r="V857" s="72"/>
      <c r="W857" s="72"/>
      <c r="X857" s="72" t="str">
        <f t="shared" si="3"/>
        <v/>
      </c>
      <c r="Y857" s="72"/>
    </row>
    <row r="858">
      <c r="B858" s="1"/>
      <c r="C858" s="1"/>
      <c r="D858" s="1" t="str">
        <f t="shared" si="1"/>
        <v/>
      </c>
      <c r="F858" s="1"/>
      <c r="G858" s="1"/>
      <c r="H858" s="1" t="str">
        <f t="shared" si="2"/>
        <v/>
      </c>
      <c r="J858" s="274"/>
      <c r="K858" s="72"/>
      <c r="L858" s="72"/>
      <c r="M858" s="72"/>
      <c r="N858" s="72"/>
      <c r="O858" s="72"/>
      <c r="P858" s="72"/>
      <c r="Q858" s="72"/>
      <c r="R858" s="72"/>
      <c r="S858" s="72"/>
      <c r="T858" s="72"/>
      <c r="V858" s="72"/>
      <c r="W858" s="72"/>
      <c r="X858" s="72" t="str">
        <f t="shared" si="3"/>
        <v/>
      </c>
      <c r="Y858" s="72"/>
    </row>
    <row r="859">
      <c r="B859" s="1"/>
      <c r="C859" s="1"/>
      <c r="D859" s="1" t="str">
        <f t="shared" si="1"/>
        <v/>
      </c>
      <c r="F859" s="1"/>
      <c r="G859" s="1"/>
      <c r="H859" s="1" t="str">
        <f t="shared" si="2"/>
        <v/>
      </c>
      <c r="J859" s="274"/>
      <c r="K859" s="72"/>
      <c r="L859" s="72"/>
      <c r="M859" s="72"/>
      <c r="N859" s="72"/>
      <c r="O859" s="72"/>
      <c r="P859" s="72"/>
      <c r="Q859" s="72"/>
      <c r="R859" s="72"/>
      <c r="S859" s="72"/>
      <c r="T859" s="72"/>
      <c r="V859" s="72"/>
      <c r="W859" s="72"/>
      <c r="X859" s="72" t="str">
        <f t="shared" si="3"/>
        <v/>
      </c>
      <c r="Y859" s="72"/>
    </row>
    <row r="860">
      <c r="B860" s="1"/>
      <c r="C860" s="1"/>
      <c r="D860" s="1" t="str">
        <f t="shared" si="1"/>
        <v/>
      </c>
      <c r="F860" s="1"/>
      <c r="G860" s="1"/>
      <c r="H860" s="1" t="str">
        <f t="shared" si="2"/>
        <v/>
      </c>
      <c r="J860" s="274"/>
      <c r="K860" s="72"/>
      <c r="L860" s="72"/>
      <c r="M860" s="72"/>
      <c r="N860" s="72"/>
      <c r="O860" s="72"/>
      <c r="P860" s="72"/>
      <c r="Q860" s="72"/>
      <c r="R860" s="72"/>
      <c r="S860" s="72"/>
      <c r="T860" s="72"/>
      <c r="V860" s="72"/>
      <c r="W860" s="72"/>
      <c r="X860" s="72" t="str">
        <f t="shared" si="3"/>
        <v/>
      </c>
      <c r="Y860" s="72"/>
    </row>
    <row r="861">
      <c r="B861" s="1"/>
      <c r="C861" s="1"/>
      <c r="D861" s="1" t="str">
        <f t="shared" si="1"/>
        <v/>
      </c>
      <c r="F861" s="1"/>
      <c r="G861" s="1"/>
      <c r="H861" s="1" t="str">
        <f t="shared" si="2"/>
        <v/>
      </c>
      <c r="J861" s="274"/>
      <c r="K861" s="72"/>
      <c r="L861" s="72"/>
      <c r="M861" s="72"/>
      <c r="N861" s="72"/>
      <c r="O861" s="72"/>
      <c r="P861" s="72"/>
      <c r="Q861" s="72"/>
      <c r="R861" s="72"/>
      <c r="S861" s="72"/>
      <c r="T861" s="72"/>
      <c r="V861" s="72"/>
      <c r="W861" s="72"/>
      <c r="X861" s="72" t="str">
        <f t="shared" si="3"/>
        <v/>
      </c>
      <c r="Y861" s="72"/>
    </row>
    <row r="862">
      <c r="B862" s="1"/>
      <c r="C862" s="1"/>
      <c r="D862" s="1" t="str">
        <f t="shared" si="1"/>
        <v/>
      </c>
      <c r="F862" s="1"/>
      <c r="G862" s="1"/>
      <c r="H862" s="1" t="str">
        <f t="shared" si="2"/>
        <v/>
      </c>
      <c r="J862" s="274"/>
      <c r="K862" s="72"/>
      <c r="L862" s="72"/>
      <c r="M862" s="72"/>
      <c r="N862" s="72"/>
      <c r="O862" s="72"/>
      <c r="P862" s="72"/>
      <c r="Q862" s="72"/>
      <c r="R862" s="72"/>
      <c r="S862" s="72"/>
      <c r="T862" s="72"/>
      <c r="V862" s="72"/>
      <c r="W862" s="72"/>
      <c r="X862" s="72" t="str">
        <f t="shared" si="3"/>
        <v/>
      </c>
      <c r="Y862" s="72"/>
    </row>
    <row r="863">
      <c r="B863" s="1"/>
      <c r="C863" s="1"/>
      <c r="D863" s="1" t="str">
        <f t="shared" si="1"/>
        <v/>
      </c>
      <c r="F863" s="1"/>
      <c r="G863" s="1"/>
      <c r="H863" s="1" t="str">
        <f t="shared" si="2"/>
        <v/>
      </c>
      <c r="J863" s="274"/>
      <c r="K863" s="72"/>
      <c r="L863" s="72"/>
      <c r="M863" s="72"/>
      <c r="N863" s="72"/>
      <c r="O863" s="72"/>
      <c r="P863" s="72"/>
      <c r="Q863" s="72"/>
      <c r="R863" s="72"/>
      <c r="S863" s="72"/>
      <c r="T863" s="72"/>
      <c r="V863" s="72"/>
      <c r="W863" s="72"/>
      <c r="X863" s="72" t="str">
        <f t="shared" si="3"/>
        <v/>
      </c>
      <c r="Y863" s="72"/>
    </row>
    <row r="864">
      <c r="B864" s="1"/>
      <c r="C864" s="1"/>
      <c r="D864" s="1" t="str">
        <f t="shared" si="1"/>
        <v/>
      </c>
      <c r="F864" s="1"/>
      <c r="G864" s="1"/>
      <c r="H864" s="1" t="str">
        <f t="shared" si="2"/>
        <v/>
      </c>
      <c r="J864" s="274"/>
      <c r="K864" s="72"/>
      <c r="L864" s="72"/>
      <c r="M864" s="72"/>
      <c r="N864" s="72"/>
      <c r="O864" s="72"/>
      <c r="P864" s="72"/>
      <c r="Q864" s="72"/>
      <c r="R864" s="72"/>
      <c r="S864" s="72"/>
      <c r="T864" s="72"/>
      <c r="V864" s="72"/>
      <c r="W864" s="72"/>
      <c r="X864" s="72" t="str">
        <f t="shared" si="3"/>
        <v/>
      </c>
      <c r="Y864" s="72"/>
    </row>
    <row r="865">
      <c r="B865" s="1"/>
      <c r="C865" s="1"/>
      <c r="D865" s="1" t="str">
        <f t="shared" si="1"/>
        <v/>
      </c>
      <c r="F865" s="1"/>
      <c r="G865" s="1"/>
      <c r="H865" s="1" t="str">
        <f t="shared" si="2"/>
        <v/>
      </c>
      <c r="J865" s="274"/>
      <c r="K865" s="72"/>
      <c r="L865" s="72"/>
      <c r="M865" s="72"/>
      <c r="N865" s="72"/>
      <c r="O865" s="72"/>
      <c r="P865" s="72"/>
      <c r="Q865" s="72"/>
      <c r="R865" s="72"/>
      <c r="S865" s="72"/>
      <c r="T865" s="72"/>
      <c r="V865" s="72"/>
      <c r="W865" s="72"/>
      <c r="X865" s="72" t="str">
        <f t="shared" si="3"/>
        <v/>
      </c>
      <c r="Y865" s="72"/>
    </row>
    <row r="866">
      <c r="B866" s="1"/>
      <c r="C866" s="1"/>
      <c r="D866" s="1" t="str">
        <f t="shared" si="1"/>
        <v/>
      </c>
      <c r="F866" s="1"/>
      <c r="G866" s="1"/>
      <c r="H866" s="1" t="str">
        <f t="shared" si="2"/>
        <v/>
      </c>
      <c r="J866" s="274"/>
      <c r="K866" s="72"/>
      <c r="L866" s="72"/>
      <c r="M866" s="72"/>
      <c r="N866" s="72"/>
      <c r="O866" s="72"/>
      <c r="P866" s="72"/>
      <c r="Q866" s="72"/>
      <c r="R866" s="72"/>
      <c r="S866" s="72"/>
      <c r="T866" s="72"/>
      <c r="V866" s="72"/>
      <c r="W866" s="72"/>
      <c r="X866" s="72" t="str">
        <f t="shared" si="3"/>
        <v/>
      </c>
      <c r="Y866" s="72"/>
    </row>
    <row r="867">
      <c r="B867" s="1"/>
      <c r="C867" s="1"/>
      <c r="D867" s="1" t="str">
        <f t="shared" si="1"/>
        <v/>
      </c>
      <c r="F867" s="1"/>
      <c r="G867" s="1"/>
      <c r="H867" s="1" t="str">
        <f t="shared" si="2"/>
        <v/>
      </c>
      <c r="J867" s="274"/>
      <c r="K867" s="72"/>
      <c r="L867" s="72"/>
      <c r="M867" s="72"/>
      <c r="N867" s="72"/>
      <c r="O867" s="72"/>
      <c r="P867" s="72"/>
      <c r="Q867" s="72"/>
      <c r="R867" s="72"/>
      <c r="S867" s="72"/>
      <c r="T867" s="72"/>
      <c r="V867" s="72"/>
      <c r="W867" s="72"/>
      <c r="X867" s="72" t="str">
        <f t="shared" si="3"/>
        <v/>
      </c>
      <c r="Y867" s="72"/>
    </row>
    <row r="868">
      <c r="B868" s="1"/>
      <c r="C868" s="1"/>
      <c r="D868" s="1" t="str">
        <f t="shared" si="1"/>
        <v/>
      </c>
      <c r="F868" s="1"/>
      <c r="G868" s="1"/>
      <c r="H868" s="1" t="str">
        <f t="shared" si="2"/>
        <v/>
      </c>
      <c r="J868" s="274"/>
      <c r="K868" s="72"/>
      <c r="L868" s="72"/>
      <c r="M868" s="72"/>
      <c r="N868" s="72"/>
      <c r="O868" s="72"/>
      <c r="P868" s="72"/>
      <c r="Q868" s="72"/>
      <c r="R868" s="72"/>
      <c r="S868" s="72"/>
      <c r="T868" s="72"/>
      <c r="V868" s="72"/>
      <c r="W868" s="72"/>
      <c r="X868" s="72" t="str">
        <f t="shared" si="3"/>
        <v/>
      </c>
      <c r="Y868" s="72"/>
    </row>
    <row r="869">
      <c r="B869" s="1"/>
      <c r="C869" s="1"/>
      <c r="D869" s="1" t="str">
        <f t="shared" si="1"/>
        <v/>
      </c>
      <c r="F869" s="1"/>
      <c r="G869" s="1"/>
      <c r="H869" s="1" t="str">
        <f t="shared" si="2"/>
        <v/>
      </c>
      <c r="J869" s="274"/>
      <c r="K869" s="72"/>
      <c r="L869" s="72"/>
      <c r="M869" s="72"/>
      <c r="N869" s="72"/>
      <c r="O869" s="72"/>
      <c r="P869" s="72"/>
      <c r="Q869" s="72"/>
      <c r="R869" s="72"/>
      <c r="S869" s="72"/>
      <c r="T869" s="72"/>
      <c r="V869" s="72"/>
      <c r="W869" s="72"/>
      <c r="X869" s="72" t="str">
        <f t="shared" si="3"/>
        <v/>
      </c>
      <c r="Y869" s="72"/>
    </row>
    <row r="870">
      <c r="B870" s="1"/>
      <c r="C870" s="1"/>
      <c r="D870" s="1" t="str">
        <f t="shared" si="1"/>
        <v/>
      </c>
      <c r="F870" s="1"/>
      <c r="G870" s="1"/>
      <c r="H870" s="1" t="str">
        <f t="shared" si="2"/>
        <v/>
      </c>
      <c r="J870" s="274"/>
      <c r="K870" s="72"/>
      <c r="L870" s="72"/>
      <c r="M870" s="72"/>
      <c r="N870" s="72"/>
      <c r="O870" s="72"/>
      <c r="P870" s="72"/>
      <c r="Q870" s="72"/>
      <c r="R870" s="72"/>
      <c r="S870" s="72"/>
      <c r="T870" s="72"/>
      <c r="V870" s="72"/>
      <c r="W870" s="72"/>
      <c r="X870" s="72" t="str">
        <f t="shared" si="3"/>
        <v/>
      </c>
      <c r="Y870" s="72"/>
    </row>
    <row r="871">
      <c r="B871" s="1"/>
      <c r="C871" s="1"/>
      <c r="D871" s="1" t="str">
        <f t="shared" si="1"/>
        <v/>
      </c>
      <c r="F871" s="1"/>
      <c r="G871" s="1"/>
      <c r="H871" s="1" t="str">
        <f t="shared" si="2"/>
        <v/>
      </c>
      <c r="J871" s="274"/>
      <c r="K871" s="72"/>
      <c r="L871" s="72"/>
      <c r="M871" s="72"/>
      <c r="N871" s="72"/>
      <c r="O871" s="72"/>
      <c r="P871" s="72"/>
      <c r="Q871" s="72"/>
      <c r="R871" s="72"/>
      <c r="S871" s="72"/>
      <c r="T871" s="72"/>
      <c r="V871" s="72"/>
      <c r="W871" s="72"/>
      <c r="X871" s="72" t="str">
        <f t="shared" si="3"/>
        <v/>
      </c>
      <c r="Y871" s="72"/>
    </row>
    <row r="872">
      <c r="B872" s="1"/>
      <c r="C872" s="1"/>
      <c r="D872" s="1" t="str">
        <f t="shared" si="1"/>
        <v/>
      </c>
      <c r="F872" s="1"/>
      <c r="G872" s="1"/>
      <c r="H872" s="1" t="str">
        <f t="shared" si="2"/>
        <v/>
      </c>
      <c r="J872" s="274"/>
      <c r="K872" s="72"/>
      <c r="L872" s="72"/>
      <c r="M872" s="72"/>
      <c r="N872" s="72"/>
      <c r="O872" s="72"/>
      <c r="P872" s="72"/>
      <c r="Q872" s="72"/>
      <c r="R872" s="72"/>
      <c r="S872" s="72"/>
      <c r="T872" s="72"/>
      <c r="V872" s="72"/>
      <c r="W872" s="72"/>
      <c r="X872" s="72" t="str">
        <f t="shared" si="3"/>
        <v/>
      </c>
      <c r="Y872" s="72"/>
    </row>
    <row r="873">
      <c r="B873" s="1"/>
      <c r="C873" s="1"/>
      <c r="D873" s="1" t="str">
        <f t="shared" si="1"/>
        <v/>
      </c>
      <c r="F873" s="1"/>
      <c r="G873" s="1"/>
      <c r="H873" s="1" t="str">
        <f t="shared" si="2"/>
        <v/>
      </c>
      <c r="J873" s="274"/>
      <c r="K873" s="72"/>
      <c r="L873" s="72"/>
      <c r="M873" s="72"/>
      <c r="N873" s="72"/>
      <c r="O873" s="72"/>
      <c r="P873" s="72"/>
      <c r="Q873" s="72"/>
      <c r="R873" s="72"/>
      <c r="S873" s="72"/>
      <c r="T873" s="72"/>
      <c r="V873" s="72"/>
      <c r="W873" s="72"/>
      <c r="X873" s="72" t="str">
        <f t="shared" si="3"/>
        <v/>
      </c>
      <c r="Y873" s="72"/>
    </row>
    <row r="874">
      <c r="B874" s="1"/>
      <c r="C874" s="1"/>
      <c r="D874" s="1" t="str">
        <f t="shared" si="1"/>
        <v/>
      </c>
      <c r="F874" s="1"/>
      <c r="G874" s="1"/>
      <c r="H874" s="1" t="str">
        <f t="shared" si="2"/>
        <v/>
      </c>
      <c r="J874" s="274"/>
      <c r="K874" s="72"/>
      <c r="L874" s="72"/>
      <c r="M874" s="72"/>
      <c r="N874" s="72"/>
      <c r="O874" s="72"/>
      <c r="P874" s="72"/>
      <c r="Q874" s="72"/>
      <c r="R874" s="72"/>
      <c r="S874" s="72"/>
      <c r="T874" s="72"/>
      <c r="V874" s="72"/>
      <c r="W874" s="72"/>
      <c r="X874" s="72" t="str">
        <f t="shared" si="3"/>
        <v/>
      </c>
      <c r="Y874" s="72"/>
    </row>
    <row r="875">
      <c r="B875" s="1"/>
      <c r="C875" s="1"/>
      <c r="D875" s="1" t="str">
        <f t="shared" si="1"/>
        <v/>
      </c>
      <c r="F875" s="1"/>
      <c r="G875" s="1"/>
      <c r="H875" s="1" t="str">
        <f t="shared" si="2"/>
        <v/>
      </c>
      <c r="J875" s="274"/>
      <c r="K875" s="72"/>
      <c r="L875" s="72"/>
      <c r="M875" s="72"/>
      <c r="N875" s="72"/>
      <c r="O875" s="72"/>
      <c r="P875" s="72"/>
      <c r="Q875" s="72"/>
      <c r="R875" s="72"/>
      <c r="S875" s="72"/>
      <c r="T875" s="72"/>
      <c r="V875" s="72"/>
      <c r="W875" s="72"/>
      <c r="X875" s="72" t="str">
        <f t="shared" si="3"/>
        <v/>
      </c>
      <c r="Y875" s="72"/>
    </row>
    <row r="876">
      <c r="B876" s="1"/>
      <c r="C876" s="1"/>
      <c r="D876" s="1" t="str">
        <f t="shared" si="1"/>
        <v/>
      </c>
      <c r="F876" s="1"/>
      <c r="G876" s="1"/>
      <c r="H876" s="1" t="str">
        <f t="shared" si="2"/>
        <v/>
      </c>
      <c r="J876" s="274"/>
      <c r="K876" s="72"/>
      <c r="L876" s="72"/>
      <c r="M876" s="72"/>
      <c r="N876" s="72"/>
      <c r="O876" s="72"/>
      <c r="P876" s="72"/>
      <c r="Q876" s="72"/>
      <c r="R876" s="72"/>
      <c r="S876" s="72"/>
      <c r="T876" s="72"/>
      <c r="V876" s="72"/>
      <c r="W876" s="72"/>
      <c r="X876" s="72" t="str">
        <f t="shared" si="3"/>
        <v/>
      </c>
      <c r="Y876" s="72"/>
    </row>
    <row r="877">
      <c r="B877" s="1"/>
      <c r="C877" s="1"/>
      <c r="D877" s="1" t="str">
        <f t="shared" si="1"/>
        <v/>
      </c>
      <c r="F877" s="1"/>
      <c r="G877" s="1"/>
      <c r="H877" s="1" t="str">
        <f t="shared" si="2"/>
        <v/>
      </c>
      <c r="J877" s="274"/>
      <c r="K877" s="72"/>
      <c r="L877" s="72"/>
      <c r="M877" s="72"/>
      <c r="N877" s="72"/>
      <c r="O877" s="72"/>
      <c r="P877" s="72"/>
      <c r="Q877" s="72"/>
      <c r="R877" s="72"/>
      <c r="S877" s="72"/>
      <c r="T877" s="72"/>
      <c r="V877" s="72"/>
      <c r="W877" s="72"/>
      <c r="X877" s="72" t="str">
        <f t="shared" si="3"/>
        <v/>
      </c>
      <c r="Y877" s="72"/>
    </row>
    <row r="878">
      <c r="B878" s="1"/>
      <c r="C878" s="1"/>
      <c r="D878" s="1" t="str">
        <f t="shared" si="1"/>
        <v/>
      </c>
      <c r="F878" s="1"/>
      <c r="G878" s="1"/>
      <c r="H878" s="1" t="str">
        <f t="shared" si="2"/>
        <v/>
      </c>
      <c r="J878" s="274"/>
      <c r="K878" s="72"/>
      <c r="L878" s="72"/>
      <c r="M878" s="72"/>
      <c r="N878" s="72"/>
      <c r="O878" s="72"/>
      <c r="P878" s="72"/>
      <c r="Q878" s="72"/>
      <c r="R878" s="72"/>
      <c r="S878" s="72"/>
      <c r="T878" s="72"/>
      <c r="V878" s="72"/>
      <c r="W878" s="72"/>
      <c r="X878" s="72" t="str">
        <f t="shared" si="3"/>
        <v/>
      </c>
      <c r="Y878" s="72"/>
    </row>
    <row r="879">
      <c r="B879" s="1"/>
      <c r="C879" s="1"/>
      <c r="D879" s="1" t="str">
        <f t="shared" si="1"/>
        <v/>
      </c>
      <c r="F879" s="1"/>
      <c r="G879" s="1"/>
      <c r="H879" s="1" t="str">
        <f t="shared" si="2"/>
        <v/>
      </c>
      <c r="J879" s="274"/>
      <c r="K879" s="72"/>
      <c r="L879" s="72"/>
      <c r="M879" s="72"/>
      <c r="N879" s="72"/>
      <c r="O879" s="72"/>
      <c r="P879" s="72"/>
      <c r="Q879" s="72"/>
      <c r="R879" s="72"/>
      <c r="S879" s="72"/>
      <c r="T879" s="72"/>
      <c r="V879" s="72"/>
      <c r="W879" s="72"/>
      <c r="X879" s="72" t="str">
        <f t="shared" si="3"/>
        <v/>
      </c>
      <c r="Y879" s="72"/>
    </row>
    <row r="880">
      <c r="B880" s="1"/>
      <c r="C880" s="1"/>
      <c r="D880" s="1" t="str">
        <f t="shared" si="1"/>
        <v/>
      </c>
      <c r="F880" s="1"/>
      <c r="G880" s="1"/>
      <c r="H880" s="1" t="str">
        <f t="shared" si="2"/>
        <v/>
      </c>
      <c r="J880" s="274"/>
      <c r="K880" s="72"/>
      <c r="L880" s="72"/>
      <c r="M880" s="72"/>
      <c r="N880" s="72"/>
      <c r="O880" s="72"/>
      <c r="P880" s="72"/>
      <c r="Q880" s="72"/>
      <c r="R880" s="72"/>
      <c r="S880" s="72"/>
      <c r="T880" s="72"/>
      <c r="V880" s="72"/>
      <c r="W880" s="72"/>
      <c r="X880" s="72" t="str">
        <f t="shared" si="3"/>
        <v/>
      </c>
      <c r="Y880" s="72"/>
    </row>
    <row r="881">
      <c r="B881" s="1"/>
      <c r="C881" s="1"/>
      <c r="D881" s="1" t="str">
        <f t="shared" si="1"/>
        <v/>
      </c>
      <c r="F881" s="1"/>
      <c r="G881" s="1"/>
      <c r="H881" s="1" t="str">
        <f t="shared" si="2"/>
        <v/>
      </c>
      <c r="J881" s="274"/>
      <c r="K881" s="72"/>
      <c r="L881" s="72"/>
      <c r="M881" s="72"/>
      <c r="N881" s="72"/>
      <c r="O881" s="72"/>
      <c r="P881" s="72"/>
      <c r="Q881" s="72"/>
      <c r="R881" s="72"/>
      <c r="S881" s="72"/>
      <c r="T881" s="72"/>
      <c r="V881" s="72"/>
      <c r="W881" s="72"/>
      <c r="X881" s="72" t="str">
        <f t="shared" si="3"/>
        <v/>
      </c>
      <c r="Y881" s="72"/>
    </row>
    <row r="882">
      <c r="B882" s="1"/>
      <c r="C882" s="1"/>
      <c r="D882" s="1" t="str">
        <f t="shared" si="1"/>
        <v/>
      </c>
      <c r="F882" s="1"/>
      <c r="G882" s="1"/>
      <c r="H882" s="1" t="str">
        <f t="shared" si="2"/>
        <v/>
      </c>
      <c r="J882" s="274"/>
      <c r="K882" s="72"/>
      <c r="L882" s="72"/>
      <c r="M882" s="72"/>
      <c r="N882" s="72"/>
      <c r="O882" s="72"/>
      <c r="P882" s="72"/>
      <c r="Q882" s="72"/>
      <c r="R882" s="72"/>
      <c r="S882" s="72"/>
      <c r="T882" s="72"/>
      <c r="V882" s="72"/>
      <c r="W882" s="72"/>
      <c r="X882" s="72" t="str">
        <f t="shared" si="3"/>
        <v/>
      </c>
      <c r="Y882" s="72"/>
    </row>
    <row r="883">
      <c r="B883" s="1"/>
      <c r="C883" s="1"/>
      <c r="D883" s="1" t="str">
        <f t="shared" si="1"/>
        <v/>
      </c>
      <c r="F883" s="1"/>
      <c r="G883" s="1"/>
      <c r="H883" s="1" t="str">
        <f t="shared" si="2"/>
        <v/>
      </c>
      <c r="J883" s="274"/>
      <c r="K883" s="72"/>
      <c r="L883" s="72"/>
      <c r="M883" s="72"/>
      <c r="N883" s="72"/>
      <c r="O883" s="72"/>
      <c r="P883" s="72"/>
      <c r="Q883" s="72"/>
      <c r="R883" s="72"/>
      <c r="S883" s="72"/>
      <c r="T883" s="72"/>
      <c r="V883" s="72"/>
      <c r="W883" s="72"/>
      <c r="X883" s="72" t="str">
        <f t="shared" si="3"/>
        <v/>
      </c>
      <c r="Y883" s="72"/>
    </row>
    <row r="884">
      <c r="B884" s="1"/>
      <c r="C884" s="1"/>
      <c r="D884" s="1" t="str">
        <f t="shared" si="1"/>
        <v/>
      </c>
      <c r="F884" s="1"/>
      <c r="G884" s="1"/>
      <c r="H884" s="1" t="str">
        <f t="shared" si="2"/>
        <v/>
      </c>
      <c r="J884" s="274"/>
      <c r="K884" s="72"/>
      <c r="L884" s="72"/>
      <c r="M884" s="72"/>
      <c r="N884" s="72"/>
      <c r="O884" s="72"/>
      <c r="P884" s="72"/>
      <c r="Q884" s="72"/>
      <c r="R884" s="72"/>
      <c r="S884" s="72"/>
      <c r="T884" s="72"/>
      <c r="V884" s="72"/>
      <c r="W884" s="72"/>
      <c r="X884" s="72" t="str">
        <f t="shared" si="3"/>
        <v/>
      </c>
      <c r="Y884" s="72"/>
    </row>
    <row r="885">
      <c r="B885" s="1"/>
      <c r="C885" s="1"/>
      <c r="D885" s="1" t="str">
        <f t="shared" si="1"/>
        <v/>
      </c>
      <c r="F885" s="1"/>
      <c r="G885" s="1"/>
      <c r="H885" s="1" t="str">
        <f t="shared" si="2"/>
        <v/>
      </c>
      <c r="J885" s="274"/>
      <c r="K885" s="72"/>
      <c r="L885" s="72"/>
      <c r="M885" s="72"/>
      <c r="N885" s="72"/>
      <c r="O885" s="72"/>
      <c r="P885" s="72"/>
      <c r="Q885" s="72"/>
      <c r="R885" s="72"/>
      <c r="S885" s="72"/>
      <c r="T885" s="72"/>
      <c r="V885" s="72"/>
      <c r="W885" s="72"/>
      <c r="X885" s="72" t="str">
        <f t="shared" si="3"/>
        <v/>
      </c>
      <c r="Y885" s="72"/>
    </row>
    <row r="886">
      <c r="B886" s="1"/>
      <c r="C886" s="1"/>
      <c r="D886" s="1" t="str">
        <f t="shared" si="1"/>
        <v/>
      </c>
      <c r="F886" s="1"/>
      <c r="G886" s="1"/>
      <c r="H886" s="1" t="str">
        <f t="shared" si="2"/>
        <v/>
      </c>
      <c r="J886" s="274"/>
      <c r="K886" s="72"/>
      <c r="L886" s="72"/>
      <c r="M886" s="72"/>
      <c r="N886" s="72"/>
      <c r="O886" s="72"/>
      <c r="P886" s="72"/>
      <c r="Q886" s="72"/>
      <c r="R886" s="72"/>
      <c r="S886" s="72"/>
      <c r="T886" s="72"/>
      <c r="V886" s="72"/>
      <c r="W886" s="72"/>
      <c r="X886" s="72" t="str">
        <f t="shared" si="3"/>
        <v/>
      </c>
      <c r="Y886" s="72"/>
    </row>
    <row r="887">
      <c r="B887" s="1"/>
      <c r="C887" s="1"/>
      <c r="D887" s="1" t="str">
        <f t="shared" si="1"/>
        <v/>
      </c>
      <c r="F887" s="1"/>
      <c r="G887" s="1"/>
      <c r="H887" s="1" t="str">
        <f t="shared" si="2"/>
        <v/>
      </c>
      <c r="J887" s="274"/>
      <c r="K887" s="72"/>
      <c r="L887" s="72"/>
      <c r="M887" s="72"/>
      <c r="N887" s="72"/>
      <c r="O887" s="72"/>
      <c r="P887" s="72"/>
      <c r="Q887" s="72"/>
      <c r="R887" s="72"/>
      <c r="S887" s="72"/>
      <c r="T887" s="72"/>
      <c r="V887" s="72"/>
      <c r="W887" s="72"/>
      <c r="X887" s="72" t="str">
        <f t="shared" si="3"/>
        <v/>
      </c>
      <c r="Y887" s="72"/>
    </row>
    <row r="888">
      <c r="B888" s="1"/>
      <c r="C888" s="1"/>
      <c r="D888" s="1" t="str">
        <f t="shared" si="1"/>
        <v/>
      </c>
      <c r="F888" s="1"/>
      <c r="G888" s="1"/>
      <c r="H888" s="1" t="str">
        <f t="shared" si="2"/>
        <v/>
      </c>
      <c r="J888" s="274"/>
      <c r="K888" s="72"/>
      <c r="L888" s="72"/>
      <c r="M888" s="72"/>
      <c r="N888" s="72"/>
      <c r="O888" s="72"/>
      <c r="P888" s="72"/>
      <c r="Q888" s="72"/>
      <c r="R888" s="72"/>
      <c r="S888" s="72"/>
      <c r="T888" s="72"/>
      <c r="V888" s="72"/>
      <c r="W888" s="72"/>
      <c r="X888" s="72" t="str">
        <f t="shared" si="3"/>
        <v/>
      </c>
      <c r="Y888" s="72"/>
    </row>
    <row r="889">
      <c r="B889" s="1"/>
      <c r="C889" s="1"/>
      <c r="D889" s="1" t="str">
        <f t="shared" si="1"/>
        <v/>
      </c>
      <c r="F889" s="1"/>
      <c r="G889" s="1"/>
      <c r="H889" s="1" t="str">
        <f t="shared" si="2"/>
        <v/>
      </c>
      <c r="J889" s="274"/>
      <c r="K889" s="72"/>
      <c r="L889" s="72"/>
      <c r="M889" s="72"/>
      <c r="N889" s="72"/>
      <c r="O889" s="72"/>
      <c r="P889" s="72"/>
      <c r="Q889" s="72"/>
      <c r="R889" s="72"/>
      <c r="S889" s="72"/>
      <c r="T889" s="72"/>
      <c r="V889" s="72"/>
      <c r="W889" s="72"/>
      <c r="X889" s="72" t="str">
        <f t="shared" si="3"/>
        <v/>
      </c>
      <c r="Y889" s="72"/>
    </row>
    <row r="890">
      <c r="B890" s="1"/>
      <c r="C890" s="1"/>
      <c r="D890" s="1" t="str">
        <f t="shared" si="1"/>
        <v/>
      </c>
      <c r="F890" s="1"/>
      <c r="G890" s="1"/>
      <c r="H890" s="1" t="str">
        <f t="shared" si="2"/>
        <v/>
      </c>
      <c r="J890" s="274"/>
      <c r="K890" s="72"/>
      <c r="L890" s="72"/>
      <c r="M890" s="72"/>
      <c r="N890" s="72"/>
      <c r="O890" s="72"/>
      <c r="P890" s="72"/>
      <c r="Q890" s="72"/>
      <c r="R890" s="72"/>
      <c r="S890" s="72"/>
      <c r="T890" s="72"/>
      <c r="V890" s="72"/>
      <c r="W890" s="72"/>
      <c r="X890" s="72" t="str">
        <f t="shared" si="3"/>
        <v/>
      </c>
      <c r="Y890" s="72"/>
    </row>
    <row r="891">
      <c r="B891" s="1"/>
      <c r="C891" s="1"/>
      <c r="D891" s="1" t="str">
        <f t="shared" si="1"/>
        <v/>
      </c>
      <c r="F891" s="1"/>
      <c r="G891" s="1"/>
      <c r="H891" s="1" t="str">
        <f t="shared" si="2"/>
        <v/>
      </c>
      <c r="J891" s="274"/>
      <c r="K891" s="72"/>
      <c r="L891" s="72"/>
      <c r="M891" s="72"/>
      <c r="N891" s="72"/>
      <c r="O891" s="72"/>
      <c r="P891" s="72"/>
      <c r="Q891" s="72"/>
      <c r="R891" s="72"/>
      <c r="S891" s="72"/>
      <c r="T891" s="72"/>
      <c r="V891" s="72"/>
      <c r="W891" s="72"/>
      <c r="X891" s="72" t="str">
        <f t="shared" si="3"/>
        <v/>
      </c>
      <c r="Y891" s="72"/>
    </row>
    <row r="892">
      <c r="B892" s="1"/>
      <c r="C892" s="1"/>
      <c r="D892" s="1" t="str">
        <f t="shared" si="1"/>
        <v/>
      </c>
      <c r="F892" s="1"/>
      <c r="G892" s="1"/>
      <c r="H892" s="1" t="str">
        <f t="shared" si="2"/>
        <v/>
      </c>
      <c r="J892" s="274"/>
      <c r="K892" s="72"/>
      <c r="L892" s="72"/>
      <c r="M892" s="72"/>
      <c r="N892" s="72"/>
      <c r="O892" s="72"/>
      <c r="P892" s="72"/>
      <c r="Q892" s="72"/>
      <c r="R892" s="72"/>
      <c r="S892" s="72"/>
      <c r="T892" s="72"/>
      <c r="V892" s="72"/>
      <c r="W892" s="72"/>
      <c r="X892" s="72" t="str">
        <f t="shared" si="3"/>
        <v/>
      </c>
      <c r="Y892" s="72"/>
    </row>
    <row r="893">
      <c r="B893" s="1"/>
      <c r="C893" s="1"/>
      <c r="D893" s="1" t="str">
        <f t="shared" si="1"/>
        <v/>
      </c>
      <c r="F893" s="1"/>
      <c r="G893" s="1"/>
      <c r="H893" s="1" t="str">
        <f t="shared" si="2"/>
        <v/>
      </c>
      <c r="J893" s="274"/>
      <c r="K893" s="72"/>
      <c r="L893" s="72"/>
      <c r="M893" s="72"/>
      <c r="N893" s="72"/>
      <c r="O893" s="72"/>
      <c r="P893" s="72"/>
      <c r="Q893" s="72"/>
      <c r="R893" s="72"/>
      <c r="S893" s="72"/>
      <c r="T893" s="72"/>
      <c r="V893" s="72"/>
      <c r="W893" s="72"/>
      <c r="X893" s="72" t="str">
        <f t="shared" si="3"/>
        <v/>
      </c>
      <c r="Y893" s="72"/>
    </row>
    <row r="894">
      <c r="B894" s="1"/>
      <c r="C894" s="1"/>
      <c r="D894" s="1" t="str">
        <f t="shared" si="1"/>
        <v/>
      </c>
      <c r="F894" s="1"/>
      <c r="G894" s="1"/>
      <c r="H894" s="1" t="str">
        <f t="shared" si="2"/>
        <v/>
      </c>
      <c r="J894" s="274"/>
      <c r="K894" s="72"/>
      <c r="L894" s="72"/>
      <c r="M894" s="72"/>
      <c r="N894" s="72"/>
      <c r="O894" s="72"/>
      <c r="P894" s="72"/>
      <c r="Q894" s="72"/>
      <c r="R894" s="72"/>
      <c r="S894" s="72"/>
      <c r="T894" s="72"/>
      <c r="V894" s="72"/>
      <c r="W894" s="72"/>
      <c r="X894" s="72" t="str">
        <f t="shared" si="3"/>
        <v/>
      </c>
      <c r="Y894" s="72"/>
    </row>
    <row r="895">
      <c r="B895" s="1"/>
      <c r="C895" s="1"/>
      <c r="D895" s="1" t="str">
        <f t="shared" si="1"/>
        <v/>
      </c>
      <c r="F895" s="1"/>
      <c r="G895" s="1"/>
      <c r="H895" s="1" t="str">
        <f t="shared" si="2"/>
        <v/>
      </c>
      <c r="J895" s="274"/>
      <c r="K895" s="72"/>
      <c r="L895" s="72"/>
      <c r="M895" s="72"/>
      <c r="N895" s="72"/>
      <c r="O895" s="72"/>
      <c r="P895" s="72"/>
      <c r="Q895" s="72"/>
      <c r="R895" s="72"/>
      <c r="S895" s="72"/>
      <c r="T895" s="72"/>
      <c r="V895" s="72"/>
      <c r="W895" s="72"/>
      <c r="X895" s="72" t="str">
        <f t="shared" si="3"/>
        <v/>
      </c>
      <c r="Y895" s="72"/>
    </row>
    <row r="896">
      <c r="B896" s="1"/>
      <c r="C896" s="1"/>
      <c r="D896" s="1" t="str">
        <f t="shared" si="1"/>
        <v/>
      </c>
      <c r="F896" s="1"/>
      <c r="G896" s="1"/>
      <c r="H896" s="1" t="str">
        <f t="shared" si="2"/>
        <v/>
      </c>
      <c r="J896" s="274"/>
      <c r="K896" s="72"/>
      <c r="L896" s="72"/>
      <c r="M896" s="72"/>
      <c r="N896" s="72"/>
      <c r="O896" s="72"/>
      <c r="P896" s="72"/>
      <c r="Q896" s="72"/>
      <c r="R896" s="72"/>
      <c r="S896" s="72"/>
      <c r="T896" s="72"/>
      <c r="V896" s="72"/>
      <c r="W896" s="72"/>
      <c r="X896" s="72" t="str">
        <f t="shared" si="3"/>
        <v/>
      </c>
      <c r="Y896" s="72"/>
    </row>
    <row r="897">
      <c r="B897" s="1"/>
      <c r="C897" s="1"/>
      <c r="D897" s="1" t="str">
        <f t="shared" si="1"/>
        <v/>
      </c>
      <c r="F897" s="1"/>
      <c r="G897" s="1"/>
      <c r="H897" s="1" t="str">
        <f t="shared" si="2"/>
        <v/>
      </c>
      <c r="J897" s="274"/>
      <c r="K897" s="72"/>
      <c r="L897" s="72"/>
      <c r="M897" s="72"/>
      <c r="N897" s="72"/>
      <c r="O897" s="72"/>
      <c r="P897" s="72"/>
      <c r="Q897" s="72"/>
      <c r="R897" s="72"/>
      <c r="S897" s="72"/>
      <c r="T897" s="72"/>
      <c r="V897" s="72"/>
      <c r="W897" s="72"/>
      <c r="X897" s="72" t="str">
        <f t="shared" si="3"/>
        <v/>
      </c>
      <c r="Y897" s="72"/>
    </row>
    <row r="898">
      <c r="B898" s="1"/>
      <c r="C898" s="1"/>
      <c r="D898" s="1" t="str">
        <f t="shared" si="1"/>
        <v/>
      </c>
      <c r="F898" s="1"/>
      <c r="G898" s="1"/>
      <c r="H898" s="1" t="str">
        <f t="shared" si="2"/>
        <v/>
      </c>
      <c r="J898" s="274"/>
      <c r="K898" s="72"/>
      <c r="L898" s="72"/>
      <c r="M898" s="72"/>
      <c r="N898" s="72"/>
      <c r="O898" s="72"/>
      <c r="P898" s="72"/>
      <c r="Q898" s="72"/>
      <c r="R898" s="72"/>
      <c r="S898" s="72"/>
      <c r="T898" s="72"/>
      <c r="V898" s="72"/>
      <c r="W898" s="72"/>
      <c r="X898" s="72" t="str">
        <f t="shared" si="3"/>
        <v/>
      </c>
      <c r="Y898" s="72"/>
    </row>
    <row r="899">
      <c r="B899" s="1"/>
      <c r="C899" s="1"/>
      <c r="D899" s="1" t="str">
        <f t="shared" si="1"/>
        <v/>
      </c>
      <c r="F899" s="1"/>
      <c r="G899" s="1"/>
      <c r="H899" s="1" t="str">
        <f t="shared" si="2"/>
        <v/>
      </c>
      <c r="J899" s="274"/>
      <c r="K899" s="72"/>
      <c r="L899" s="72"/>
      <c r="M899" s="72"/>
      <c r="N899" s="72"/>
      <c r="O899" s="72"/>
      <c r="P899" s="72"/>
      <c r="Q899" s="72"/>
      <c r="R899" s="72"/>
      <c r="S899" s="72"/>
      <c r="T899" s="72"/>
      <c r="V899" s="72"/>
      <c r="W899" s="72"/>
      <c r="X899" s="72" t="str">
        <f t="shared" si="3"/>
        <v/>
      </c>
      <c r="Y899" s="72"/>
    </row>
    <row r="900">
      <c r="B900" s="1"/>
      <c r="C900" s="1"/>
      <c r="D900" s="1" t="str">
        <f t="shared" si="1"/>
        <v/>
      </c>
      <c r="F900" s="1"/>
      <c r="G900" s="1"/>
      <c r="H900" s="1" t="str">
        <f t="shared" si="2"/>
        <v/>
      </c>
      <c r="J900" s="274"/>
      <c r="K900" s="72"/>
      <c r="L900" s="72"/>
      <c r="M900" s="72"/>
      <c r="N900" s="72"/>
      <c r="O900" s="72"/>
      <c r="P900" s="72"/>
      <c r="Q900" s="72"/>
      <c r="R900" s="72"/>
      <c r="S900" s="72"/>
      <c r="T900" s="72"/>
      <c r="V900" s="72"/>
      <c r="W900" s="72"/>
      <c r="X900" s="72" t="str">
        <f t="shared" si="3"/>
        <v/>
      </c>
      <c r="Y900" s="72"/>
    </row>
    <row r="901">
      <c r="B901" s="1"/>
      <c r="C901" s="1"/>
      <c r="D901" s="1" t="str">
        <f t="shared" si="1"/>
        <v/>
      </c>
      <c r="F901" s="1"/>
      <c r="G901" s="1"/>
      <c r="H901" s="1" t="str">
        <f t="shared" si="2"/>
        <v/>
      </c>
      <c r="J901" s="274"/>
      <c r="K901" s="72"/>
      <c r="L901" s="72"/>
      <c r="M901" s="72"/>
      <c r="N901" s="72"/>
      <c r="O901" s="72"/>
      <c r="P901" s="72"/>
      <c r="Q901" s="72"/>
      <c r="R901" s="72"/>
      <c r="S901" s="72"/>
      <c r="T901" s="72"/>
      <c r="V901" s="72"/>
      <c r="W901" s="72"/>
      <c r="X901" s="72" t="str">
        <f t="shared" si="3"/>
        <v/>
      </c>
      <c r="Y901" s="72"/>
    </row>
    <row r="902">
      <c r="B902" s="1"/>
      <c r="C902" s="1"/>
      <c r="D902" s="1" t="str">
        <f t="shared" si="1"/>
        <v/>
      </c>
      <c r="F902" s="1"/>
      <c r="G902" s="1"/>
      <c r="H902" s="1" t="str">
        <f t="shared" si="2"/>
        <v/>
      </c>
      <c r="J902" s="274"/>
      <c r="K902" s="72"/>
      <c r="L902" s="72"/>
      <c r="M902" s="72"/>
      <c r="N902" s="72"/>
      <c r="O902" s="72"/>
      <c r="P902" s="72"/>
      <c r="Q902" s="72"/>
      <c r="R902" s="72"/>
      <c r="S902" s="72"/>
      <c r="T902" s="72"/>
      <c r="V902" s="72"/>
      <c r="W902" s="72"/>
      <c r="X902" s="72" t="str">
        <f t="shared" si="3"/>
        <v/>
      </c>
      <c r="Y902" s="72"/>
    </row>
    <row r="903">
      <c r="B903" s="1"/>
      <c r="C903" s="1"/>
      <c r="D903" s="1" t="str">
        <f t="shared" si="1"/>
        <v/>
      </c>
      <c r="F903" s="1"/>
      <c r="G903" s="1"/>
      <c r="H903" s="1" t="str">
        <f t="shared" si="2"/>
        <v/>
      </c>
      <c r="J903" s="274"/>
      <c r="K903" s="72"/>
      <c r="L903" s="72"/>
      <c r="M903" s="72"/>
      <c r="N903" s="72"/>
      <c r="O903" s="72"/>
      <c r="P903" s="72"/>
      <c r="Q903" s="72"/>
      <c r="R903" s="72"/>
      <c r="S903" s="72"/>
      <c r="T903" s="72"/>
      <c r="V903" s="72"/>
      <c r="W903" s="72"/>
      <c r="X903" s="72" t="str">
        <f t="shared" si="3"/>
        <v/>
      </c>
      <c r="Y903" s="72"/>
    </row>
    <row r="904">
      <c r="B904" s="1"/>
      <c r="C904" s="1"/>
      <c r="D904" s="1" t="str">
        <f t="shared" si="1"/>
        <v/>
      </c>
      <c r="F904" s="1"/>
      <c r="G904" s="1"/>
      <c r="H904" s="1" t="str">
        <f t="shared" si="2"/>
        <v/>
      </c>
      <c r="J904" s="274"/>
      <c r="K904" s="72"/>
      <c r="L904" s="72"/>
      <c r="M904" s="72"/>
      <c r="N904" s="72"/>
      <c r="O904" s="72"/>
      <c r="P904" s="72"/>
      <c r="Q904" s="72"/>
      <c r="R904" s="72"/>
      <c r="S904" s="72"/>
      <c r="T904" s="72"/>
      <c r="V904" s="72"/>
      <c r="W904" s="72"/>
      <c r="X904" s="72" t="str">
        <f t="shared" si="3"/>
        <v/>
      </c>
      <c r="Y904" s="72"/>
    </row>
    <row r="905">
      <c r="B905" s="1"/>
      <c r="C905" s="1"/>
      <c r="D905" s="1" t="str">
        <f t="shared" si="1"/>
        <v/>
      </c>
      <c r="F905" s="1"/>
      <c r="G905" s="1"/>
      <c r="H905" s="1" t="str">
        <f t="shared" si="2"/>
        <v/>
      </c>
      <c r="J905" s="274"/>
      <c r="K905" s="72"/>
      <c r="L905" s="72"/>
      <c r="M905" s="72"/>
      <c r="N905" s="72"/>
      <c r="O905" s="72"/>
      <c r="P905" s="72"/>
      <c r="Q905" s="72"/>
      <c r="R905" s="72"/>
      <c r="S905" s="72"/>
      <c r="T905" s="72"/>
      <c r="V905" s="72"/>
      <c r="W905" s="72"/>
      <c r="X905" s="72" t="str">
        <f t="shared" si="3"/>
        <v/>
      </c>
      <c r="Y905" s="72"/>
    </row>
    <row r="906">
      <c r="B906" s="1"/>
      <c r="C906" s="1"/>
      <c r="D906" s="1" t="str">
        <f t="shared" si="1"/>
        <v/>
      </c>
      <c r="F906" s="1"/>
      <c r="G906" s="1"/>
      <c r="H906" s="1" t="str">
        <f t="shared" si="2"/>
        <v/>
      </c>
      <c r="J906" s="274"/>
      <c r="K906" s="72"/>
      <c r="L906" s="72"/>
      <c r="M906" s="72"/>
      <c r="N906" s="72"/>
      <c r="O906" s="72"/>
      <c r="P906" s="72"/>
      <c r="Q906" s="72"/>
      <c r="R906" s="72"/>
      <c r="S906" s="72"/>
      <c r="T906" s="72"/>
      <c r="V906" s="72"/>
      <c r="W906" s="72"/>
      <c r="X906" s="72" t="str">
        <f t="shared" si="3"/>
        <v/>
      </c>
      <c r="Y906" s="72"/>
    </row>
    <row r="907">
      <c r="B907" s="1"/>
      <c r="C907" s="1"/>
      <c r="D907" s="1" t="str">
        <f t="shared" si="1"/>
        <v/>
      </c>
      <c r="F907" s="1"/>
      <c r="G907" s="1"/>
      <c r="H907" s="1" t="str">
        <f t="shared" si="2"/>
        <v/>
      </c>
      <c r="J907" s="274"/>
      <c r="K907" s="72"/>
      <c r="L907" s="72"/>
      <c r="M907" s="72"/>
      <c r="N907" s="72"/>
      <c r="O907" s="72"/>
      <c r="P907" s="72"/>
      <c r="Q907" s="72"/>
      <c r="R907" s="72"/>
      <c r="S907" s="72"/>
      <c r="T907" s="72"/>
      <c r="V907" s="72"/>
      <c r="W907" s="72"/>
      <c r="X907" s="72" t="str">
        <f t="shared" si="3"/>
        <v/>
      </c>
      <c r="Y907" s="72"/>
    </row>
    <row r="908">
      <c r="B908" s="1"/>
      <c r="C908" s="1"/>
      <c r="D908" s="1" t="str">
        <f t="shared" si="1"/>
        <v/>
      </c>
      <c r="F908" s="1"/>
      <c r="G908" s="1"/>
      <c r="H908" s="1" t="str">
        <f t="shared" si="2"/>
        <v/>
      </c>
      <c r="J908" s="274"/>
      <c r="K908" s="72"/>
      <c r="L908" s="72"/>
      <c r="M908" s="72"/>
      <c r="N908" s="72"/>
      <c r="O908" s="72"/>
      <c r="P908" s="72"/>
      <c r="Q908" s="72"/>
      <c r="R908" s="72"/>
      <c r="S908" s="72"/>
      <c r="T908" s="72"/>
      <c r="V908" s="72"/>
      <c r="W908" s="72"/>
      <c r="X908" s="72" t="str">
        <f t="shared" si="3"/>
        <v/>
      </c>
      <c r="Y908" s="72"/>
    </row>
    <row r="909">
      <c r="B909" s="1"/>
      <c r="C909" s="1"/>
      <c r="D909" s="1" t="str">
        <f t="shared" si="1"/>
        <v/>
      </c>
      <c r="F909" s="1"/>
      <c r="G909" s="1"/>
      <c r="H909" s="1" t="str">
        <f t="shared" si="2"/>
        <v/>
      </c>
      <c r="J909" s="274"/>
      <c r="K909" s="72"/>
      <c r="L909" s="72"/>
      <c r="M909" s="72"/>
      <c r="N909" s="72"/>
      <c r="O909" s="72"/>
      <c r="P909" s="72"/>
      <c r="Q909" s="72"/>
      <c r="R909" s="72"/>
      <c r="S909" s="72"/>
      <c r="T909" s="72"/>
      <c r="V909" s="72"/>
      <c r="W909" s="72"/>
      <c r="X909" s="72" t="str">
        <f t="shared" si="3"/>
        <v/>
      </c>
      <c r="Y909" s="72"/>
    </row>
    <row r="910">
      <c r="B910" s="1"/>
      <c r="C910" s="1"/>
      <c r="D910" s="1" t="str">
        <f t="shared" si="1"/>
        <v/>
      </c>
      <c r="F910" s="1"/>
      <c r="G910" s="1"/>
      <c r="H910" s="1" t="str">
        <f t="shared" si="2"/>
        <v/>
      </c>
      <c r="J910" s="274"/>
      <c r="K910" s="72"/>
      <c r="L910" s="72"/>
      <c r="M910" s="72"/>
      <c r="N910" s="72"/>
      <c r="O910" s="72"/>
      <c r="P910" s="72"/>
      <c r="Q910" s="72"/>
      <c r="R910" s="72"/>
      <c r="S910" s="72"/>
      <c r="T910" s="72"/>
      <c r="V910" s="72"/>
      <c r="W910" s="72"/>
      <c r="X910" s="72" t="str">
        <f t="shared" si="3"/>
        <v/>
      </c>
      <c r="Y910" s="72"/>
    </row>
    <row r="911">
      <c r="B911" s="1"/>
      <c r="C911" s="1"/>
      <c r="D911" s="1" t="str">
        <f t="shared" si="1"/>
        <v/>
      </c>
      <c r="F911" s="1"/>
      <c r="G911" s="1"/>
      <c r="H911" s="1" t="str">
        <f t="shared" si="2"/>
        <v/>
      </c>
      <c r="J911" s="274"/>
      <c r="K911" s="72"/>
      <c r="L911" s="72"/>
      <c r="M911" s="72"/>
      <c r="N911" s="72"/>
      <c r="O911" s="72"/>
      <c r="P911" s="72"/>
      <c r="Q911" s="72"/>
      <c r="R911" s="72"/>
      <c r="S911" s="72"/>
      <c r="T911" s="72"/>
      <c r="V911" s="72"/>
      <c r="W911" s="72"/>
      <c r="X911" s="72" t="str">
        <f t="shared" si="3"/>
        <v/>
      </c>
      <c r="Y911" s="72"/>
    </row>
    <row r="912">
      <c r="B912" s="1"/>
      <c r="C912" s="1"/>
      <c r="D912" s="1" t="str">
        <f t="shared" si="1"/>
        <v/>
      </c>
      <c r="F912" s="1"/>
      <c r="G912" s="1"/>
      <c r="H912" s="1" t="str">
        <f t="shared" si="2"/>
        <v/>
      </c>
      <c r="J912" s="274"/>
      <c r="K912" s="72"/>
      <c r="L912" s="72"/>
      <c r="M912" s="72"/>
      <c r="N912" s="72"/>
      <c r="O912" s="72"/>
      <c r="P912" s="72"/>
      <c r="Q912" s="72"/>
      <c r="R912" s="72"/>
      <c r="S912" s="72"/>
      <c r="T912" s="72"/>
      <c r="V912" s="72"/>
      <c r="W912" s="72"/>
      <c r="X912" s="72" t="str">
        <f t="shared" si="3"/>
        <v/>
      </c>
      <c r="Y912" s="72"/>
    </row>
    <row r="913">
      <c r="B913" s="1"/>
      <c r="C913" s="1"/>
      <c r="D913" s="1" t="str">
        <f t="shared" si="1"/>
        <v/>
      </c>
      <c r="F913" s="1"/>
      <c r="G913" s="1"/>
      <c r="H913" s="1" t="str">
        <f t="shared" si="2"/>
        <v/>
      </c>
      <c r="J913" s="274"/>
      <c r="K913" s="72"/>
      <c r="L913" s="72"/>
      <c r="M913" s="72"/>
      <c r="N913" s="72"/>
      <c r="O913" s="72"/>
      <c r="P913" s="72"/>
      <c r="Q913" s="72"/>
      <c r="R913" s="72"/>
      <c r="S913" s="72"/>
      <c r="T913" s="72"/>
      <c r="V913" s="72"/>
      <c r="W913" s="72"/>
      <c r="X913" s="72" t="str">
        <f t="shared" si="3"/>
        <v/>
      </c>
      <c r="Y913" s="72"/>
    </row>
    <row r="914">
      <c r="B914" s="1"/>
      <c r="C914" s="1"/>
      <c r="D914" s="1" t="str">
        <f t="shared" si="1"/>
        <v/>
      </c>
      <c r="F914" s="1"/>
      <c r="G914" s="1"/>
      <c r="H914" s="1" t="str">
        <f t="shared" si="2"/>
        <v/>
      </c>
      <c r="J914" s="274"/>
      <c r="K914" s="72"/>
      <c r="L914" s="72"/>
      <c r="M914" s="72"/>
      <c r="N914" s="72"/>
      <c r="O914" s="72"/>
      <c r="P914" s="72"/>
      <c r="Q914" s="72"/>
      <c r="R914" s="72"/>
      <c r="S914" s="72"/>
      <c r="T914" s="72"/>
      <c r="V914" s="72"/>
      <c r="W914" s="72"/>
      <c r="X914" s="72" t="str">
        <f t="shared" si="3"/>
        <v/>
      </c>
      <c r="Y914" s="72"/>
    </row>
    <row r="915">
      <c r="B915" s="1"/>
      <c r="C915" s="1"/>
      <c r="D915" s="1" t="str">
        <f t="shared" si="1"/>
        <v/>
      </c>
      <c r="F915" s="1"/>
      <c r="G915" s="1"/>
      <c r="H915" s="1" t="str">
        <f t="shared" si="2"/>
        <v/>
      </c>
      <c r="J915" s="274"/>
      <c r="K915" s="72"/>
      <c r="L915" s="72"/>
      <c r="M915" s="72"/>
      <c r="N915" s="72"/>
      <c r="O915" s="72"/>
      <c r="P915" s="72"/>
      <c r="Q915" s="72"/>
      <c r="R915" s="72"/>
      <c r="S915" s="72"/>
      <c r="T915" s="72"/>
      <c r="V915" s="72"/>
      <c r="W915" s="72"/>
      <c r="X915" s="72" t="str">
        <f t="shared" si="3"/>
        <v/>
      </c>
      <c r="Y915" s="72"/>
    </row>
    <row r="916">
      <c r="B916" s="1"/>
      <c r="C916" s="1"/>
      <c r="D916" s="1" t="str">
        <f t="shared" si="1"/>
        <v/>
      </c>
      <c r="F916" s="1"/>
      <c r="G916" s="1"/>
      <c r="H916" s="1" t="str">
        <f t="shared" si="2"/>
        <v/>
      </c>
      <c r="J916" s="274"/>
      <c r="K916" s="72"/>
      <c r="L916" s="72"/>
      <c r="M916" s="72"/>
      <c r="N916" s="72"/>
      <c r="O916" s="72"/>
      <c r="P916" s="72"/>
      <c r="Q916" s="72"/>
      <c r="R916" s="72"/>
      <c r="S916" s="72"/>
      <c r="T916" s="72"/>
      <c r="V916" s="72"/>
      <c r="W916" s="72"/>
      <c r="X916" s="72" t="str">
        <f t="shared" si="3"/>
        <v/>
      </c>
      <c r="Y916" s="72"/>
    </row>
    <row r="917">
      <c r="B917" s="1"/>
      <c r="C917" s="1"/>
      <c r="D917" s="1" t="str">
        <f t="shared" si="1"/>
        <v/>
      </c>
      <c r="F917" s="1"/>
      <c r="G917" s="1"/>
      <c r="H917" s="1" t="str">
        <f t="shared" si="2"/>
        <v/>
      </c>
      <c r="J917" s="274"/>
      <c r="K917" s="72"/>
      <c r="L917" s="72"/>
      <c r="M917" s="72"/>
      <c r="N917" s="72"/>
      <c r="O917" s="72"/>
      <c r="P917" s="72"/>
      <c r="Q917" s="72"/>
      <c r="R917" s="72"/>
      <c r="S917" s="72"/>
      <c r="T917" s="72"/>
      <c r="V917" s="72"/>
      <c r="W917" s="72"/>
      <c r="X917" s="72" t="str">
        <f t="shared" si="3"/>
        <v/>
      </c>
      <c r="Y917" s="72"/>
    </row>
    <row r="918">
      <c r="B918" s="1"/>
      <c r="C918" s="1"/>
      <c r="D918" s="1" t="str">
        <f t="shared" si="1"/>
        <v/>
      </c>
      <c r="F918" s="1"/>
      <c r="G918" s="1"/>
      <c r="H918" s="1" t="str">
        <f t="shared" si="2"/>
        <v/>
      </c>
      <c r="J918" s="274"/>
      <c r="K918" s="72"/>
      <c r="L918" s="72"/>
      <c r="M918" s="72"/>
      <c r="N918" s="72"/>
      <c r="O918" s="72"/>
      <c r="P918" s="72"/>
      <c r="Q918" s="72"/>
      <c r="R918" s="72"/>
      <c r="S918" s="72"/>
      <c r="T918" s="72"/>
      <c r="V918" s="72"/>
      <c r="W918" s="72"/>
      <c r="X918" s="72" t="str">
        <f t="shared" si="3"/>
        <v/>
      </c>
      <c r="Y918" s="72"/>
    </row>
    <row r="919">
      <c r="B919" s="1"/>
      <c r="C919" s="1"/>
      <c r="D919" s="1" t="str">
        <f t="shared" si="1"/>
        <v/>
      </c>
      <c r="F919" s="1"/>
      <c r="G919" s="1"/>
      <c r="H919" s="1" t="str">
        <f t="shared" si="2"/>
        <v/>
      </c>
      <c r="J919" s="274"/>
      <c r="K919" s="72"/>
      <c r="L919" s="72"/>
      <c r="M919" s="72"/>
      <c r="N919" s="72"/>
      <c r="O919" s="72"/>
      <c r="P919" s="72"/>
      <c r="Q919" s="72"/>
      <c r="R919" s="72"/>
      <c r="S919" s="72"/>
      <c r="T919" s="72"/>
      <c r="V919" s="72"/>
      <c r="W919" s="72"/>
      <c r="X919" s="72" t="str">
        <f t="shared" si="3"/>
        <v/>
      </c>
      <c r="Y919" s="72"/>
    </row>
    <row r="920">
      <c r="B920" s="1"/>
      <c r="C920" s="1"/>
      <c r="D920" s="1" t="str">
        <f t="shared" si="1"/>
        <v/>
      </c>
      <c r="F920" s="1"/>
      <c r="G920" s="1"/>
      <c r="H920" s="1" t="str">
        <f t="shared" si="2"/>
        <v/>
      </c>
      <c r="J920" s="274"/>
      <c r="K920" s="72"/>
      <c r="L920" s="72"/>
      <c r="M920" s="72"/>
      <c r="N920" s="72"/>
      <c r="O920" s="72"/>
      <c r="P920" s="72"/>
      <c r="Q920" s="72"/>
      <c r="R920" s="72"/>
      <c r="S920" s="72"/>
      <c r="T920" s="72"/>
      <c r="V920" s="72"/>
      <c r="W920" s="72"/>
      <c r="X920" s="72" t="str">
        <f t="shared" si="3"/>
        <v/>
      </c>
      <c r="Y920" s="72"/>
    </row>
    <row r="921">
      <c r="B921" s="1"/>
      <c r="C921" s="1"/>
      <c r="D921" s="1" t="str">
        <f t="shared" si="1"/>
        <v/>
      </c>
      <c r="F921" s="1"/>
      <c r="G921" s="1"/>
      <c r="H921" s="1" t="str">
        <f t="shared" si="2"/>
        <v/>
      </c>
      <c r="J921" s="274"/>
      <c r="K921" s="72"/>
      <c r="L921" s="72"/>
      <c r="M921" s="72"/>
      <c r="N921" s="72"/>
      <c r="O921" s="72"/>
      <c r="P921" s="72"/>
      <c r="Q921" s="72"/>
      <c r="R921" s="72"/>
      <c r="S921" s="72"/>
      <c r="T921" s="72"/>
      <c r="V921" s="72"/>
      <c r="W921" s="72"/>
      <c r="X921" s="72" t="str">
        <f t="shared" si="3"/>
        <v/>
      </c>
      <c r="Y921" s="72"/>
    </row>
    <row r="922">
      <c r="B922" s="1"/>
      <c r="C922" s="1"/>
      <c r="D922" s="1" t="str">
        <f t="shared" si="1"/>
        <v/>
      </c>
      <c r="F922" s="1"/>
      <c r="G922" s="1"/>
      <c r="H922" s="1" t="str">
        <f t="shared" si="2"/>
        <v/>
      </c>
      <c r="J922" s="274"/>
      <c r="K922" s="72"/>
      <c r="L922" s="72"/>
      <c r="M922" s="72"/>
      <c r="N922" s="72"/>
      <c r="O922" s="72"/>
      <c r="P922" s="72"/>
      <c r="Q922" s="72"/>
      <c r="R922" s="72"/>
      <c r="S922" s="72"/>
      <c r="T922" s="72"/>
      <c r="V922" s="72"/>
      <c r="W922" s="72"/>
      <c r="X922" s="72" t="str">
        <f t="shared" si="3"/>
        <v/>
      </c>
      <c r="Y922" s="72"/>
    </row>
    <row r="923">
      <c r="B923" s="1"/>
      <c r="C923" s="1"/>
      <c r="D923" s="1" t="str">
        <f t="shared" si="1"/>
        <v/>
      </c>
      <c r="F923" s="1"/>
      <c r="G923" s="1"/>
      <c r="H923" s="1" t="str">
        <f t="shared" si="2"/>
        <v/>
      </c>
      <c r="J923" s="274"/>
      <c r="K923" s="72"/>
      <c r="L923" s="72"/>
      <c r="M923" s="72"/>
      <c r="N923" s="72"/>
      <c r="O923" s="72"/>
      <c r="P923" s="72"/>
      <c r="Q923" s="72"/>
      <c r="R923" s="72"/>
      <c r="S923" s="72"/>
      <c r="T923" s="72"/>
      <c r="V923" s="72"/>
      <c r="W923" s="72"/>
      <c r="X923" s="72" t="str">
        <f t="shared" si="3"/>
        <v/>
      </c>
      <c r="Y923" s="72"/>
    </row>
    <row r="924">
      <c r="B924" s="1"/>
      <c r="C924" s="1"/>
      <c r="D924" s="1" t="str">
        <f t="shared" si="1"/>
        <v/>
      </c>
      <c r="F924" s="1"/>
      <c r="G924" s="1"/>
      <c r="H924" s="1" t="str">
        <f t="shared" si="2"/>
        <v/>
      </c>
      <c r="J924" s="274"/>
      <c r="K924" s="72"/>
      <c r="L924" s="72"/>
      <c r="M924" s="72"/>
      <c r="N924" s="72"/>
      <c r="O924" s="72"/>
      <c r="P924" s="72"/>
      <c r="Q924" s="72"/>
      <c r="R924" s="72"/>
      <c r="S924" s="72"/>
      <c r="T924" s="72"/>
      <c r="V924" s="72"/>
      <c r="W924" s="72"/>
      <c r="X924" s="72" t="str">
        <f t="shared" si="3"/>
        <v/>
      </c>
      <c r="Y924" s="72"/>
    </row>
    <row r="925">
      <c r="B925" s="1"/>
      <c r="C925" s="1"/>
      <c r="D925" s="1" t="str">
        <f t="shared" si="1"/>
        <v/>
      </c>
      <c r="F925" s="1"/>
      <c r="G925" s="1"/>
      <c r="H925" s="1" t="str">
        <f t="shared" si="2"/>
        <v/>
      </c>
      <c r="J925" s="274"/>
      <c r="K925" s="72"/>
      <c r="L925" s="72"/>
      <c r="M925" s="72"/>
      <c r="N925" s="72"/>
      <c r="O925" s="72"/>
      <c r="P925" s="72"/>
      <c r="Q925" s="72"/>
      <c r="R925" s="72"/>
      <c r="S925" s="72"/>
      <c r="T925" s="72"/>
      <c r="V925" s="72"/>
      <c r="W925" s="72"/>
      <c r="X925" s="72" t="str">
        <f t="shared" si="3"/>
        <v/>
      </c>
      <c r="Y925" s="72"/>
    </row>
    <row r="926">
      <c r="B926" s="1"/>
      <c r="C926" s="1"/>
      <c r="D926" s="1" t="str">
        <f t="shared" si="1"/>
        <v/>
      </c>
      <c r="F926" s="1"/>
      <c r="G926" s="1"/>
      <c r="H926" s="1" t="str">
        <f t="shared" si="2"/>
        <v/>
      </c>
      <c r="J926" s="274"/>
      <c r="K926" s="72"/>
      <c r="L926" s="72"/>
      <c r="M926" s="72"/>
      <c r="N926" s="72"/>
      <c r="O926" s="72"/>
      <c r="P926" s="72"/>
      <c r="Q926" s="72"/>
      <c r="R926" s="72"/>
      <c r="S926" s="72"/>
      <c r="T926" s="72"/>
      <c r="V926" s="72"/>
      <c r="W926" s="72"/>
      <c r="X926" s="72" t="str">
        <f t="shared" si="3"/>
        <v/>
      </c>
      <c r="Y926" s="72"/>
    </row>
    <row r="927">
      <c r="B927" s="1"/>
      <c r="C927" s="1"/>
      <c r="D927" s="1" t="str">
        <f t="shared" si="1"/>
        <v/>
      </c>
      <c r="F927" s="1"/>
      <c r="G927" s="1"/>
      <c r="H927" s="1" t="str">
        <f t="shared" si="2"/>
        <v/>
      </c>
      <c r="J927" s="274"/>
      <c r="K927" s="72"/>
      <c r="L927" s="72"/>
      <c r="M927" s="72"/>
      <c r="N927" s="72"/>
      <c r="O927" s="72"/>
      <c r="P927" s="72"/>
      <c r="Q927" s="72"/>
      <c r="R927" s="72"/>
      <c r="S927" s="72"/>
      <c r="T927" s="72"/>
      <c r="V927" s="72"/>
      <c r="W927" s="72"/>
      <c r="X927" s="72" t="str">
        <f t="shared" si="3"/>
        <v/>
      </c>
      <c r="Y927" s="72"/>
    </row>
    <row r="928">
      <c r="B928" s="1"/>
      <c r="C928" s="1"/>
      <c r="D928" s="1" t="str">
        <f t="shared" si="1"/>
        <v/>
      </c>
      <c r="F928" s="1"/>
      <c r="G928" s="1"/>
      <c r="H928" s="1" t="str">
        <f t="shared" si="2"/>
        <v/>
      </c>
      <c r="J928" s="274"/>
      <c r="K928" s="72"/>
      <c r="L928" s="72"/>
      <c r="M928" s="72"/>
      <c r="N928" s="72"/>
      <c r="O928" s="72"/>
      <c r="P928" s="72"/>
      <c r="Q928" s="72"/>
      <c r="R928" s="72"/>
      <c r="S928" s="72"/>
      <c r="T928" s="72"/>
      <c r="V928" s="72"/>
      <c r="W928" s="72"/>
      <c r="X928" s="72" t="str">
        <f t="shared" si="3"/>
        <v/>
      </c>
      <c r="Y928" s="72"/>
    </row>
    <row r="929">
      <c r="B929" s="1"/>
      <c r="C929" s="1"/>
      <c r="D929" s="1" t="str">
        <f t="shared" si="1"/>
        <v/>
      </c>
      <c r="F929" s="1"/>
      <c r="G929" s="1"/>
      <c r="H929" s="1" t="str">
        <f t="shared" si="2"/>
        <v/>
      </c>
      <c r="J929" s="274"/>
      <c r="K929" s="72"/>
      <c r="L929" s="72"/>
      <c r="M929" s="72"/>
      <c r="N929" s="72"/>
      <c r="O929" s="72"/>
      <c r="P929" s="72"/>
      <c r="Q929" s="72"/>
      <c r="R929" s="72"/>
      <c r="S929" s="72"/>
      <c r="T929" s="72"/>
      <c r="V929" s="72"/>
      <c r="W929" s="72"/>
      <c r="X929" s="72" t="str">
        <f t="shared" si="3"/>
        <v/>
      </c>
      <c r="Y929" s="72"/>
    </row>
    <row r="930">
      <c r="B930" s="1"/>
      <c r="C930" s="1"/>
      <c r="D930" s="1" t="str">
        <f t="shared" si="1"/>
        <v/>
      </c>
      <c r="F930" s="1"/>
      <c r="G930" s="1"/>
      <c r="H930" s="1" t="str">
        <f t="shared" si="2"/>
        <v/>
      </c>
      <c r="J930" s="274"/>
      <c r="K930" s="72"/>
      <c r="L930" s="72"/>
      <c r="M930" s="72"/>
      <c r="N930" s="72"/>
      <c r="O930" s="72"/>
      <c r="P930" s="72"/>
      <c r="Q930" s="72"/>
      <c r="R930" s="72"/>
      <c r="S930" s="72"/>
      <c r="T930" s="72"/>
      <c r="V930" s="72"/>
      <c r="W930" s="72"/>
      <c r="X930" s="72" t="str">
        <f t="shared" si="3"/>
        <v/>
      </c>
      <c r="Y930" s="72"/>
    </row>
    <row r="931">
      <c r="B931" s="1"/>
      <c r="C931" s="1"/>
      <c r="D931" s="1" t="str">
        <f t="shared" si="1"/>
        <v/>
      </c>
      <c r="F931" s="1"/>
      <c r="G931" s="1"/>
      <c r="H931" s="1" t="str">
        <f t="shared" si="2"/>
        <v/>
      </c>
      <c r="J931" s="274"/>
      <c r="K931" s="72"/>
      <c r="L931" s="72"/>
      <c r="M931" s="72"/>
      <c r="N931" s="72"/>
      <c r="O931" s="72"/>
      <c r="P931" s="72"/>
      <c r="Q931" s="72"/>
      <c r="R931" s="72"/>
      <c r="S931" s="72"/>
      <c r="T931" s="72"/>
      <c r="V931" s="72"/>
      <c r="W931" s="72"/>
      <c r="X931" s="72" t="str">
        <f t="shared" si="3"/>
        <v/>
      </c>
      <c r="Y931" s="72"/>
    </row>
    <row r="932">
      <c r="B932" s="1"/>
      <c r="C932" s="1"/>
      <c r="D932" s="1" t="str">
        <f t="shared" si="1"/>
        <v/>
      </c>
      <c r="F932" s="1"/>
      <c r="G932" s="1"/>
      <c r="H932" s="1" t="str">
        <f t="shared" si="2"/>
        <v/>
      </c>
      <c r="J932" s="274"/>
      <c r="K932" s="72"/>
      <c r="L932" s="72"/>
      <c r="M932" s="72"/>
      <c r="N932" s="72"/>
      <c r="O932" s="72"/>
      <c r="P932" s="72"/>
      <c r="Q932" s="72"/>
      <c r="R932" s="72"/>
      <c r="S932" s="72"/>
      <c r="T932" s="72"/>
      <c r="V932" s="72"/>
      <c r="W932" s="72"/>
      <c r="X932" s="72" t="str">
        <f t="shared" si="3"/>
        <v/>
      </c>
      <c r="Y932" s="72"/>
    </row>
    <row r="933">
      <c r="B933" s="1"/>
      <c r="C933" s="1"/>
      <c r="D933" s="1" t="str">
        <f t="shared" si="1"/>
        <v/>
      </c>
      <c r="F933" s="1"/>
      <c r="G933" s="1"/>
      <c r="H933" s="1" t="str">
        <f t="shared" si="2"/>
        <v/>
      </c>
      <c r="J933" s="274"/>
      <c r="K933" s="72"/>
      <c r="L933" s="72"/>
      <c r="M933" s="72"/>
      <c r="N933" s="72"/>
      <c r="O933" s="72"/>
      <c r="P933" s="72"/>
      <c r="Q933" s="72"/>
      <c r="R933" s="72"/>
      <c r="S933" s="72"/>
      <c r="T933" s="72"/>
      <c r="V933" s="72"/>
      <c r="W933" s="72"/>
      <c r="X933" s="72" t="str">
        <f t="shared" si="3"/>
        <v/>
      </c>
      <c r="Y933" s="72"/>
    </row>
    <row r="934">
      <c r="B934" s="1"/>
      <c r="C934" s="1"/>
      <c r="D934" s="1" t="str">
        <f t="shared" si="1"/>
        <v/>
      </c>
      <c r="F934" s="1"/>
      <c r="G934" s="1"/>
      <c r="H934" s="1" t="str">
        <f t="shared" si="2"/>
        <v/>
      </c>
      <c r="J934" s="274"/>
      <c r="K934" s="72"/>
      <c r="L934" s="72"/>
      <c r="M934" s="72"/>
      <c r="N934" s="72"/>
      <c r="O934" s="72"/>
      <c r="P934" s="72"/>
      <c r="Q934" s="72"/>
      <c r="R934" s="72"/>
      <c r="S934" s="72"/>
      <c r="T934" s="72"/>
      <c r="V934" s="72"/>
      <c r="W934" s="72"/>
      <c r="X934" s="72" t="str">
        <f t="shared" si="3"/>
        <v/>
      </c>
      <c r="Y934" s="72"/>
    </row>
    <row r="935">
      <c r="B935" s="1"/>
      <c r="C935" s="1"/>
      <c r="D935" s="1" t="str">
        <f t="shared" si="1"/>
        <v/>
      </c>
      <c r="F935" s="1"/>
      <c r="G935" s="1"/>
      <c r="H935" s="1" t="str">
        <f t="shared" si="2"/>
        <v/>
      </c>
      <c r="J935" s="274"/>
      <c r="K935" s="72"/>
      <c r="L935" s="72"/>
      <c r="M935" s="72"/>
      <c r="N935" s="72"/>
      <c r="O935" s="72"/>
      <c r="P935" s="72"/>
      <c r="Q935" s="72"/>
      <c r="R935" s="72"/>
      <c r="S935" s="72"/>
      <c r="T935" s="72"/>
      <c r="V935" s="72"/>
      <c r="W935" s="72"/>
      <c r="X935" s="72" t="str">
        <f t="shared" si="3"/>
        <v/>
      </c>
      <c r="Y935" s="72"/>
    </row>
    <row r="936">
      <c r="B936" s="1"/>
      <c r="C936" s="1"/>
      <c r="D936" s="1" t="str">
        <f t="shared" si="1"/>
        <v/>
      </c>
      <c r="F936" s="1"/>
      <c r="G936" s="1"/>
      <c r="H936" s="1" t="str">
        <f t="shared" si="2"/>
        <v/>
      </c>
      <c r="J936" s="274"/>
      <c r="K936" s="72"/>
      <c r="L936" s="72"/>
      <c r="M936" s="72"/>
      <c r="N936" s="72"/>
      <c r="O936" s="72"/>
      <c r="P936" s="72"/>
      <c r="Q936" s="72"/>
      <c r="R936" s="72"/>
      <c r="S936" s="72"/>
      <c r="T936" s="72"/>
      <c r="V936" s="72"/>
      <c r="W936" s="72"/>
      <c r="X936" s="72" t="str">
        <f t="shared" si="3"/>
        <v/>
      </c>
      <c r="Y936" s="72"/>
    </row>
    <row r="937">
      <c r="B937" s="1"/>
      <c r="C937" s="1"/>
      <c r="D937" s="1" t="str">
        <f t="shared" si="1"/>
        <v/>
      </c>
      <c r="F937" s="1"/>
      <c r="G937" s="1"/>
      <c r="H937" s="1" t="str">
        <f t="shared" si="2"/>
        <v/>
      </c>
      <c r="J937" s="274"/>
      <c r="K937" s="72"/>
      <c r="L937" s="72"/>
      <c r="M937" s="72"/>
      <c r="N937" s="72"/>
      <c r="O937" s="72"/>
      <c r="P937" s="72"/>
      <c r="Q937" s="72"/>
      <c r="R937" s="72"/>
      <c r="S937" s="72"/>
      <c r="T937" s="72"/>
      <c r="V937" s="72"/>
      <c r="W937" s="72"/>
      <c r="X937" s="72" t="str">
        <f t="shared" si="3"/>
        <v/>
      </c>
      <c r="Y937" s="72"/>
    </row>
    <row r="938">
      <c r="B938" s="1"/>
      <c r="C938" s="1"/>
      <c r="D938" s="1" t="str">
        <f t="shared" si="1"/>
        <v/>
      </c>
      <c r="F938" s="1"/>
      <c r="G938" s="1"/>
      <c r="H938" s="1" t="str">
        <f t="shared" si="2"/>
        <v/>
      </c>
      <c r="J938" s="274"/>
      <c r="K938" s="72"/>
      <c r="L938" s="72"/>
      <c r="M938" s="72"/>
      <c r="N938" s="72"/>
      <c r="O938" s="72"/>
      <c r="P938" s="72"/>
      <c r="Q938" s="72"/>
      <c r="R938" s="72"/>
      <c r="S938" s="72"/>
      <c r="T938" s="72"/>
      <c r="V938" s="72"/>
      <c r="W938" s="72"/>
      <c r="X938" s="72" t="str">
        <f t="shared" si="3"/>
        <v/>
      </c>
      <c r="Y938" s="72"/>
    </row>
    <row r="939">
      <c r="B939" s="1"/>
      <c r="C939" s="1"/>
      <c r="D939" s="1" t="str">
        <f t="shared" si="1"/>
        <v/>
      </c>
      <c r="F939" s="1"/>
      <c r="G939" s="1"/>
      <c r="H939" s="1" t="str">
        <f t="shared" si="2"/>
        <v/>
      </c>
      <c r="J939" s="274"/>
      <c r="K939" s="72"/>
      <c r="L939" s="72"/>
      <c r="M939" s="72"/>
      <c r="N939" s="72"/>
      <c r="O939" s="72"/>
      <c r="P939" s="72"/>
      <c r="Q939" s="72"/>
      <c r="R939" s="72"/>
      <c r="S939" s="72"/>
      <c r="T939" s="72"/>
      <c r="V939" s="72"/>
      <c r="W939" s="72"/>
      <c r="X939" s="72" t="str">
        <f t="shared" si="3"/>
        <v/>
      </c>
      <c r="Y939" s="72"/>
    </row>
    <row r="940">
      <c r="B940" s="1"/>
      <c r="C940" s="1"/>
      <c r="D940" s="1" t="str">
        <f t="shared" si="1"/>
        <v/>
      </c>
      <c r="F940" s="1"/>
      <c r="G940" s="1"/>
      <c r="H940" s="1" t="str">
        <f t="shared" si="2"/>
        <v/>
      </c>
      <c r="J940" s="274"/>
      <c r="K940" s="72"/>
      <c r="L940" s="72"/>
      <c r="M940" s="72"/>
      <c r="N940" s="72"/>
      <c r="O940" s="72"/>
      <c r="P940" s="72"/>
      <c r="Q940" s="72"/>
      <c r="R940" s="72"/>
      <c r="S940" s="72"/>
      <c r="T940" s="72"/>
      <c r="V940" s="72"/>
      <c r="W940" s="72"/>
      <c r="X940" s="72" t="str">
        <f t="shared" si="3"/>
        <v/>
      </c>
      <c r="Y940" s="72"/>
    </row>
    <row r="941">
      <c r="B941" s="1"/>
      <c r="C941" s="1"/>
      <c r="D941" s="1" t="str">
        <f t="shared" si="1"/>
        <v/>
      </c>
      <c r="F941" s="1"/>
      <c r="G941" s="1"/>
      <c r="H941" s="1" t="str">
        <f t="shared" si="2"/>
        <v/>
      </c>
      <c r="J941" s="274"/>
      <c r="K941" s="72"/>
      <c r="L941" s="72"/>
      <c r="M941" s="72"/>
      <c r="N941" s="72"/>
      <c r="O941" s="72"/>
      <c r="P941" s="72"/>
      <c r="Q941" s="72"/>
      <c r="R941" s="72"/>
      <c r="S941" s="72"/>
      <c r="T941" s="72"/>
      <c r="V941" s="72"/>
      <c r="W941" s="72"/>
      <c r="X941" s="72" t="str">
        <f t="shared" si="3"/>
        <v/>
      </c>
      <c r="Y941" s="72"/>
    </row>
    <row r="942">
      <c r="B942" s="1"/>
      <c r="C942" s="1"/>
      <c r="D942" s="1" t="str">
        <f t="shared" si="1"/>
        <v/>
      </c>
      <c r="F942" s="1"/>
      <c r="G942" s="1"/>
      <c r="H942" s="1" t="str">
        <f t="shared" si="2"/>
        <v/>
      </c>
      <c r="J942" s="274"/>
      <c r="K942" s="72"/>
      <c r="L942" s="72"/>
      <c r="M942" s="72"/>
      <c r="N942" s="72"/>
      <c r="O942" s="72"/>
      <c r="P942" s="72"/>
      <c r="Q942" s="72"/>
      <c r="R942" s="72"/>
      <c r="S942" s="72"/>
      <c r="T942" s="72"/>
      <c r="V942" s="72"/>
      <c r="W942" s="72"/>
      <c r="X942" s="72" t="str">
        <f t="shared" si="3"/>
        <v/>
      </c>
      <c r="Y942" s="72"/>
    </row>
    <row r="943">
      <c r="B943" s="1"/>
      <c r="C943" s="1"/>
      <c r="D943" s="1" t="str">
        <f t="shared" si="1"/>
        <v/>
      </c>
      <c r="F943" s="1"/>
      <c r="G943" s="1"/>
      <c r="H943" s="1" t="str">
        <f t="shared" si="2"/>
        <v/>
      </c>
      <c r="J943" s="274"/>
      <c r="K943" s="72"/>
      <c r="L943" s="72"/>
      <c r="M943" s="72"/>
      <c r="N943" s="72"/>
      <c r="O943" s="72"/>
      <c r="P943" s="72"/>
      <c r="Q943" s="72"/>
      <c r="R943" s="72"/>
      <c r="S943" s="72"/>
      <c r="T943" s="72"/>
      <c r="V943" s="72"/>
      <c r="W943" s="72"/>
      <c r="X943" s="72" t="str">
        <f t="shared" si="3"/>
        <v/>
      </c>
      <c r="Y943" s="72"/>
    </row>
    <row r="944">
      <c r="B944" s="1"/>
      <c r="C944" s="1"/>
      <c r="D944" s="1" t="str">
        <f t="shared" si="1"/>
        <v/>
      </c>
      <c r="F944" s="1"/>
      <c r="G944" s="1"/>
      <c r="H944" s="1" t="str">
        <f t="shared" si="2"/>
        <v/>
      </c>
      <c r="J944" s="274"/>
      <c r="K944" s="72"/>
      <c r="L944" s="72"/>
      <c r="M944" s="72"/>
      <c r="N944" s="72"/>
      <c r="O944" s="72"/>
      <c r="P944" s="72"/>
      <c r="Q944" s="72"/>
      <c r="R944" s="72"/>
      <c r="S944" s="72"/>
      <c r="T944" s="72"/>
      <c r="V944" s="72"/>
      <c r="W944" s="72"/>
      <c r="X944" s="72" t="str">
        <f t="shared" si="3"/>
        <v/>
      </c>
      <c r="Y944" s="72"/>
    </row>
    <row r="945">
      <c r="B945" s="1"/>
      <c r="C945" s="1"/>
      <c r="D945" s="1" t="str">
        <f t="shared" si="1"/>
        <v/>
      </c>
      <c r="F945" s="1"/>
      <c r="G945" s="1"/>
      <c r="H945" s="1" t="str">
        <f t="shared" si="2"/>
        <v/>
      </c>
      <c r="J945" s="274"/>
      <c r="K945" s="72"/>
      <c r="L945" s="72"/>
      <c r="M945" s="72"/>
      <c r="N945" s="72"/>
      <c r="O945" s="72"/>
      <c r="P945" s="72"/>
      <c r="Q945" s="72"/>
      <c r="R945" s="72"/>
      <c r="S945" s="72"/>
      <c r="T945" s="72"/>
      <c r="V945" s="72"/>
      <c r="W945" s="72"/>
      <c r="X945" s="72" t="str">
        <f t="shared" si="3"/>
        <v/>
      </c>
      <c r="Y945" s="72"/>
    </row>
    <row r="946">
      <c r="B946" s="1"/>
      <c r="C946" s="1"/>
      <c r="D946" s="1" t="str">
        <f t="shared" si="1"/>
        <v/>
      </c>
      <c r="F946" s="1"/>
      <c r="G946" s="1"/>
      <c r="H946" s="1" t="str">
        <f t="shared" si="2"/>
        <v/>
      </c>
      <c r="J946" s="274"/>
      <c r="K946" s="72"/>
      <c r="L946" s="72"/>
      <c r="M946" s="72"/>
      <c r="N946" s="72"/>
      <c r="O946" s="72"/>
      <c r="P946" s="72"/>
      <c r="Q946" s="72"/>
      <c r="R946" s="72"/>
      <c r="S946" s="72"/>
      <c r="T946" s="72"/>
      <c r="V946" s="72"/>
      <c r="W946" s="72"/>
      <c r="X946" s="72" t="str">
        <f t="shared" si="3"/>
        <v/>
      </c>
      <c r="Y946" s="72"/>
    </row>
    <row r="947">
      <c r="B947" s="1"/>
      <c r="C947" s="1"/>
      <c r="D947" s="1" t="str">
        <f t="shared" si="1"/>
        <v/>
      </c>
      <c r="F947" s="1"/>
      <c r="G947" s="1"/>
      <c r="H947" s="1" t="str">
        <f t="shared" si="2"/>
        <v/>
      </c>
      <c r="J947" s="274"/>
      <c r="K947" s="72"/>
      <c r="L947" s="72"/>
      <c r="M947" s="72"/>
      <c r="N947" s="72"/>
      <c r="O947" s="72"/>
      <c r="P947" s="72"/>
      <c r="Q947" s="72"/>
      <c r="R947" s="72"/>
      <c r="S947" s="72"/>
      <c r="T947" s="72"/>
      <c r="V947" s="72"/>
      <c r="W947" s="72"/>
      <c r="X947" s="72" t="str">
        <f t="shared" si="3"/>
        <v/>
      </c>
      <c r="Y947" s="72"/>
    </row>
    <row r="948">
      <c r="B948" s="1"/>
      <c r="C948" s="1"/>
      <c r="D948" s="1" t="str">
        <f t="shared" si="1"/>
        <v/>
      </c>
      <c r="F948" s="1"/>
      <c r="G948" s="1"/>
      <c r="H948" s="1" t="str">
        <f t="shared" si="2"/>
        <v/>
      </c>
      <c r="J948" s="274"/>
      <c r="K948" s="72"/>
      <c r="L948" s="72"/>
      <c r="M948" s="72"/>
      <c r="N948" s="72"/>
      <c r="O948" s="72"/>
      <c r="P948" s="72"/>
      <c r="Q948" s="72"/>
      <c r="R948" s="72"/>
      <c r="S948" s="72"/>
      <c r="T948" s="72"/>
      <c r="V948" s="72"/>
      <c r="W948" s="72"/>
      <c r="X948" s="72" t="str">
        <f t="shared" si="3"/>
        <v/>
      </c>
      <c r="Y948" s="72"/>
    </row>
    <row r="949">
      <c r="B949" s="1"/>
      <c r="C949" s="1"/>
      <c r="D949" s="1" t="str">
        <f t="shared" si="1"/>
        <v/>
      </c>
      <c r="F949" s="1"/>
      <c r="G949" s="1"/>
      <c r="H949" s="1" t="str">
        <f t="shared" si="2"/>
        <v/>
      </c>
      <c r="J949" s="274"/>
      <c r="K949" s="72"/>
      <c r="L949" s="72"/>
      <c r="M949" s="72"/>
      <c r="N949" s="72"/>
      <c r="O949" s="72"/>
      <c r="P949" s="72"/>
      <c r="Q949" s="72"/>
      <c r="R949" s="72"/>
      <c r="S949" s="72"/>
      <c r="T949" s="72"/>
      <c r="V949" s="72"/>
      <c r="W949" s="72"/>
      <c r="X949" s="72" t="str">
        <f t="shared" si="3"/>
        <v/>
      </c>
      <c r="Y949" s="72"/>
    </row>
    <row r="950">
      <c r="B950" s="1"/>
      <c r="C950" s="1"/>
      <c r="D950" s="1" t="str">
        <f t="shared" si="1"/>
        <v/>
      </c>
      <c r="F950" s="1"/>
      <c r="G950" s="1"/>
      <c r="H950" s="1" t="str">
        <f t="shared" si="2"/>
        <v/>
      </c>
      <c r="J950" s="274"/>
      <c r="K950" s="72"/>
      <c r="L950" s="72"/>
      <c r="M950" s="72"/>
      <c r="N950" s="72"/>
      <c r="O950" s="72"/>
      <c r="P950" s="72"/>
      <c r="Q950" s="72"/>
      <c r="R950" s="72"/>
      <c r="S950" s="72"/>
      <c r="T950" s="72"/>
      <c r="V950" s="72"/>
      <c r="W950" s="72"/>
      <c r="X950" s="72" t="str">
        <f t="shared" si="3"/>
        <v/>
      </c>
      <c r="Y950" s="72"/>
    </row>
    <row r="951">
      <c r="B951" s="1"/>
      <c r="C951" s="1"/>
      <c r="D951" s="1" t="str">
        <f t="shared" si="1"/>
        <v/>
      </c>
      <c r="F951" s="1"/>
      <c r="G951" s="1"/>
      <c r="H951" s="1" t="str">
        <f t="shared" si="2"/>
        <v/>
      </c>
      <c r="J951" s="274"/>
      <c r="K951" s="72"/>
      <c r="L951" s="72"/>
      <c r="M951" s="72"/>
      <c r="N951" s="72"/>
      <c r="O951" s="72"/>
      <c r="P951" s="72"/>
      <c r="Q951" s="72"/>
      <c r="R951" s="72"/>
      <c r="S951" s="72"/>
      <c r="T951" s="72"/>
      <c r="V951" s="72"/>
      <c r="W951" s="72"/>
      <c r="X951" s="72" t="str">
        <f t="shared" si="3"/>
        <v/>
      </c>
      <c r="Y951" s="72"/>
    </row>
    <row r="952">
      <c r="B952" s="1"/>
      <c r="C952" s="1"/>
      <c r="D952" s="1" t="str">
        <f t="shared" si="1"/>
        <v/>
      </c>
      <c r="F952" s="1"/>
      <c r="G952" s="1"/>
      <c r="H952" s="1" t="str">
        <f t="shared" si="2"/>
        <v/>
      </c>
      <c r="J952" s="274"/>
      <c r="K952" s="72"/>
      <c r="L952" s="72"/>
      <c r="M952" s="72"/>
      <c r="N952" s="72"/>
      <c r="O952" s="72"/>
      <c r="P952" s="72"/>
      <c r="Q952" s="72"/>
      <c r="R952" s="72"/>
      <c r="S952" s="72"/>
      <c r="T952" s="72"/>
      <c r="V952" s="72"/>
      <c r="W952" s="72"/>
      <c r="X952" s="72" t="str">
        <f t="shared" si="3"/>
        <v/>
      </c>
      <c r="Y952" s="72"/>
    </row>
    <row r="953">
      <c r="B953" s="1"/>
      <c r="C953" s="1"/>
      <c r="D953" s="1" t="str">
        <f t="shared" si="1"/>
        <v/>
      </c>
      <c r="F953" s="1"/>
      <c r="G953" s="1"/>
      <c r="H953" s="1" t="str">
        <f t="shared" si="2"/>
        <v/>
      </c>
      <c r="J953" s="274"/>
      <c r="K953" s="72"/>
      <c r="L953" s="72"/>
      <c r="M953" s="72"/>
      <c r="N953" s="72"/>
      <c r="O953" s="72"/>
      <c r="P953" s="72"/>
      <c r="Q953" s="72"/>
      <c r="R953" s="72"/>
      <c r="S953" s="72"/>
      <c r="T953" s="72"/>
      <c r="V953" s="72"/>
      <c r="W953" s="72"/>
      <c r="X953" s="72" t="str">
        <f t="shared" si="3"/>
        <v/>
      </c>
      <c r="Y953" s="72"/>
    </row>
    <row r="954">
      <c r="B954" s="1"/>
      <c r="C954" s="1"/>
      <c r="D954" s="1" t="str">
        <f t="shared" si="1"/>
        <v/>
      </c>
      <c r="F954" s="1"/>
      <c r="G954" s="1"/>
      <c r="H954" s="1" t="str">
        <f t="shared" si="2"/>
        <v/>
      </c>
      <c r="J954" s="274"/>
      <c r="K954" s="72"/>
      <c r="L954" s="72"/>
      <c r="M954" s="72"/>
      <c r="N954" s="72"/>
      <c r="O954" s="72"/>
      <c r="P954" s="72"/>
      <c r="Q954" s="72"/>
      <c r="R954" s="72"/>
      <c r="S954" s="72"/>
      <c r="T954" s="72"/>
      <c r="V954" s="72"/>
      <c r="W954" s="72"/>
      <c r="X954" s="72" t="str">
        <f t="shared" si="3"/>
        <v/>
      </c>
      <c r="Y954" s="72"/>
    </row>
    <row r="955">
      <c r="B955" s="1"/>
      <c r="C955" s="1"/>
      <c r="D955" s="1" t="str">
        <f t="shared" si="1"/>
        <v/>
      </c>
      <c r="F955" s="1"/>
      <c r="G955" s="1"/>
      <c r="H955" s="1" t="str">
        <f t="shared" si="2"/>
        <v/>
      </c>
      <c r="J955" s="274"/>
      <c r="K955" s="72"/>
      <c r="L955" s="72"/>
      <c r="M955" s="72"/>
      <c r="N955" s="72"/>
      <c r="O955" s="72"/>
      <c r="P955" s="72"/>
      <c r="Q955" s="72"/>
      <c r="R955" s="72"/>
      <c r="S955" s="72"/>
      <c r="T955" s="72"/>
      <c r="V955" s="72"/>
      <c r="W955" s="72"/>
      <c r="X955" s="72" t="str">
        <f t="shared" si="3"/>
        <v/>
      </c>
      <c r="Y955" s="72"/>
    </row>
    <row r="956">
      <c r="B956" s="1"/>
      <c r="C956" s="1"/>
      <c r="D956" s="1" t="str">
        <f t="shared" si="1"/>
        <v/>
      </c>
      <c r="F956" s="1"/>
      <c r="G956" s="1"/>
      <c r="H956" s="1" t="str">
        <f t="shared" si="2"/>
        <v/>
      </c>
      <c r="J956" s="274"/>
      <c r="K956" s="72"/>
      <c r="L956" s="72"/>
      <c r="M956" s="72"/>
      <c r="N956" s="72"/>
      <c r="O956" s="72"/>
      <c r="P956" s="72"/>
      <c r="Q956" s="72"/>
      <c r="R956" s="72"/>
      <c r="S956" s="72"/>
      <c r="T956" s="72"/>
      <c r="V956" s="72"/>
      <c r="W956" s="72"/>
      <c r="X956" s="72" t="str">
        <f t="shared" si="3"/>
        <v/>
      </c>
      <c r="Y956" s="72"/>
    </row>
    <row r="957">
      <c r="B957" s="1"/>
      <c r="C957" s="1"/>
      <c r="D957" s="1" t="str">
        <f t="shared" si="1"/>
        <v/>
      </c>
      <c r="F957" s="1"/>
      <c r="G957" s="1"/>
      <c r="H957" s="1" t="str">
        <f t="shared" si="2"/>
        <v/>
      </c>
      <c r="J957" s="274"/>
      <c r="K957" s="72"/>
      <c r="L957" s="72"/>
      <c r="M957" s="72"/>
      <c r="N957" s="72"/>
      <c r="O957" s="72"/>
      <c r="P957" s="72"/>
      <c r="Q957" s="72"/>
      <c r="R957" s="72"/>
      <c r="S957" s="72"/>
      <c r="T957" s="72"/>
      <c r="V957" s="72"/>
      <c r="W957" s="72"/>
      <c r="X957" s="72" t="str">
        <f t="shared" si="3"/>
        <v/>
      </c>
      <c r="Y957" s="72"/>
    </row>
    <row r="958">
      <c r="B958" s="1"/>
      <c r="C958" s="1"/>
      <c r="D958" s="1" t="str">
        <f t="shared" si="1"/>
        <v/>
      </c>
      <c r="F958" s="1"/>
      <c r="G958" s="1"/>
      <c r="H958" s="1" t="str">
        <f t="shared" si="2"/>
        <v/>
      </c>
      <c r="J958" s="274"/>
      <c r="K958" s="72"/>
      <c r="L958" s="72"/>
      <c r="M958" s="72"/>
      <c r="N958" s="72"/>
      <c r="O958" s="72"/>
      <c r="P958" s="72"/>
      <c r="Q958" s="72"/>
      <c r="R958" s="72"/>
      <c r="S958" s="72"/>
      <c r="T958" s="72"/>
      <c r="V958" s="72"/>
      <c r="W958" s="72"/>
      <c r="X958" s="72" t="str">
        <f t="shared" si="3"/>
        <v/>
      </c>
      <c r="Y958" s="72"/>
    </row>
    <row r="959">
      <c r="B959" s="1"/>
      <c r="C959" s="1"/>
      <c r="D959" s="1" t="str">
        <f t="shared" si="1"/>
        <v/>
      </c>
      <c r="F959" s="1"/>
      <c r="G959" s="1"/>
      <c r="H959" s="1" t="str">
        <f t="shared" si="2"/>
        <v/>
      </c>
      <c r="J959" s="274"/>
      <c r="K959" s="72"/>
      <c r="L959" s="72"/>
      <c r="M959" s="72"/>
      <c r="N959" s="72"/>
      <c r="O959" s="72"/>
      <c r="P959" s="72"/>
      <c r="Q959" s="72"/>
      <c r="R959" s="72"/>
      <c r="S959" s="72"/>
      <c r="T959" s="72"/>
      <c r="V959" s="72"/>
      <c r="W959" s="72"/>
      <c r="X959" s="72" t="str">
        <f t="shared" si="3"/>
        <v/>
      </c>
      <c r="Y959" s="72"/>
    </row>
    <row r="960">
      <c r="B960" s="1"/>
      <c r="C960" s="1"/>
      <c r="D960" s="1" t="str">
        <f t="shared" si="1"/>
        <v/>
      </c>
      <c r="F960" s="1"/>
      <c r="G960" s="1"/>
      <c r="H960" s="1" t="str">
        <f t="shared" si="2"/>
        <v/>
      </c>
      <c r="J960" s="274"/>
      <c r="K960" s="72"/>
      <c r="L960" s="72"/>
      <c r="M960" s="72"/>
      <c r="N960" s="72"/>
      <c r="O960" s="72"/>
      <c r="P960" s="72"/>
      <c r="Q960" s="72"/>
      <c r="R960" s="72"/>
      <c r="S960" s="72"/>
      <c r="T960" s="72"/>
      <c r="V960" s="72"/>
      <c r="W960" s="72"/>
      <c r="X960" s="72" t="str">
        <f t="shared" si="3"/>
        <v/>
      </c>
      <c r="Y960" s="72"/>
    </row>
    <row r="961">
      <c r="B961" s="1"/>
      <c r="C961" s="1"/>
      <c r="D961" s="1" t="str">
        <f t="shared" si="1"/>
        <v/>
      </c>
      <c r="F961" s="1"/>
      <c r="G961" s="1"/>
      <c r="H961" s="1" t="str">
        <f t="shared" si="2"/>
        <v/>
      </c>
      <c r="J961" s="274"/>
      <c r="K961" s="72"/>
      <c r="L961" s="72"/>
      <c r="M961" s="72"/>
      <c r="N961" s="72"/>
      <c r="O961" s="72"/>
      <c r="P961" s="72"/>
      <c r="Q961" s="72"/>
      <c r="R961" s="72"/>
      <c r="S961" s="72"/>
      <c r="T961" s="72"/>
      <c r="V961" s="72"/>
      <c r="W961" s="72"/>
      <c r="X961" s="72" t="str">
        <f t="shared" si="3"/>
        <v/>
      </c>
      <c r="Y961" s="72"/>
    </row>
    <row r="962">
      <c r="B962" s="1"/>
      <c r="C962" s="1"/>
      <c r="D962" s="1" t="str">
        <f t="shared" si="1"/>
        <v/>
      </c>
      <c r="F962" s="1"/>
      <c r="G962" s="1"/>
      <c r="H962" s="1" t="str">
        <f t="shared" si="2"/>
        <v/>
      </c>
      <c r="J962" s="274"/>
      <c r="K962" s="72"/>
      <c r="L962" s="72"/>
      <c r="M962" s="72"/>
      <c r="N962" s="72"/>
      <c r="O962" s="72"/>
      <c r="P962" s="72"/>
      <c r="Q962" s="72"/>
      <c r="R962" s="72"/>
      <c r="S962" s="72"/>
      <c r="T962" s="72"/>
      <c r="V962" s="72"/>
      <c r="W962" s="72"/>
      <c r="X962" s="72" t="str">
        <f t="shared" si="3"/>
        <v/>
      </c>
      <c r="Y962" s="72"/>
    </row>
    <row r="963">
      <c r="B963" s="1"/>
      <c r="C963" s="1"/>
      <c r="D963" s="1" t="str">
        <f t="shared" si="1"/>
        <v/>
      </c>
      <c r="F963" s="1"/>
      <c r="G963" s="1"/>
      <c r="H963" s="1" t="str">
        <f t="shared" si="2"/>
        <v/>
      </c>
      <c r="J963" s="274"/>
      <c r="K963" s="72"/>
      <c r="L963" s="72"/>
      <c r="M963" s="72"/>
      <c r="N963" s="72"/>
      <c r="O963" s="72"/>
      <c r="P963" s="72"/>
      <c r="Q963" s="72"/>
      <c r="R963" s="72"/>
      <c r="S963" s="72"/>
      <c r="T963" s="72"/>
      <c r="V963" s="72"/>
      <c r="W963" s="72"/>
      <c r="X963" s="72" t="str">
        <f t="shared" si="3"/>
        <v/>
      </c>
      <c r="Y963" s="72"/>
    </row>
    <row r="964">
      <c r="B964" s="1"/>
      <c r="C964" s="1"/>
      <c r="D964" s="1" t="str">
        <f t="shared" si="1"/>
        <v/>
      </c>
      <c r="F964" s="1"/>
      <c r="G964" s="1"/>
      <c r="H964" s="1" t="str">
        <f t="shared" si="2"/>
        <v/>
      </c>
      <c r="J964" s="274"/>
      <c r="K964" s="72"/>
      <c r="L964" s="72"/>
      <c r="M964" s="72"/>
      <c r="N964" s="72"/>
      <c r="O964" s="72"/>
      <c r="P964" s="72"/>
      <c r="Q964" s="72"/>
      <c r="R964" s="72"/>
      <c r="S964" s="72"/>
      <c r="T964" s="72"/>
      <c r="V964" s="72"/>
      <c r="W964" s="72"/>
      <c r="X964" s="72" t="str">
        <f t="shared" si="3"/>
        <v/>
      </c>
      <c r="Y964" s="72"/>
    </row>
    <row r="965">
      <c r="B965" s="1"/>
      <c r="C965" s="1"/>
      <c r="D965" s="1" t="str">
        <f t="shared" si="1"/>
        <v/>
      </c>
      <c r="F965" s="1"/>
      <c r="G965" s="1"/>
      <c r="H965" s="1" t="str">
        <f t="shared" si="2"/>
        <v/>
      </c>
      <c r="J965" s="274"/>
      <c r="K965" s="72"/>
      <c r="L965" s="72"/>
      <c r="M965" s="72"/>
      <c r="N965" s="72"/>
      <c r="O965" s="72"/>
      <c r="P965" s="72"/>
      <c r="Q965" s="72"/>
      <c r="R965" s="72"/>
      <c r="S965" s="72"/>
      <c r="T965" s="72"/>
      <c r="V965" s="72"/>
      <c r="W965" s="72"/>
      <c r="X965" s="72" t="str">
        <f t="shared" si="3"/>
        <v/>
      </c>
      <c r="Y965" s="72"/>
    </row>
    <row r="966">
      <c r="B966" s="1"/>
      <c r="C966" s="1"/>
      <c r="D966" s="1" t="str">
        <f t="shared" si="1"/>
        <v/>
      </c>
      <c r="F966" s="1"/>
      <c r="G966" s="1"/>
      <c r="H966" s="1" t="str">
        <f t="shared" si="2"/>
        <v/>
      </c>
      <c r="J966" s="274"/>
      <c r="K966" s="72"/>
      <c r="L966" s="72"/>
      <c r="M966" s="72"/>
      <c r="N966" s="72"/>
      <c r="O966" s="72"/>
      <c r="P966" s="72"/>
      <c r="Q966" s="72"/>
      <c r="R966" s="72"/>
      <c r="S966" s="72"/>
      <c r="T966" s="72"/>
      <c r="V966" s="72"/>
      <c r="W966" s="72"/>
      <c r="X966" s="72" t="str">
        <f t="shared" si="3"/>
        <v/>
      </c>
      <c r="Y966" s="72"/>
    </row>
    <row r="967">
      <c r="B967" s="1"/>
      <c r="C967" s="1"/>
      <c r="D967" s="1" t="str">
        <f t="shared" si="1"/>
        <v/>
      </c>
      <c r="F967" s="1"/>
      <c r="G967" s="1"/>
      <c r="H967" s="1" t="str">
        <f t="shared" si="2"/>
        <v/>
      </c>
      <c r="J967" s="274"/>
      <c r="K967" s="72"/>
      <c r="L967" s="72"/>
      <c r="M967" s="72"/>
      <c r="N967" s="72"/>
      <c r="O967" s="72"/>
      <c r="P967" s="72"/>
      <c r="Q967" s="72"/>
      <c r="R967" s="72"/>
      <c r="S967" s="72"/>
      <c r="T967" s="72"/>
      <c r="V967" s="72"/>
      <c r="W967" s="72"/>
      <c r="X967" s="72" t="str">
        <f t="shared" si="3"/>
        <v/>
      </c>
      <c r="Y967" s="72"/>
    </row>
    <row r="968">
      <c r="B968" s="1"/>
      <c r="C968" s="1"/>
      <c r="D968" s="1" t="str">
        <f t="shared" si="1"/>
        <v/>
      </c>
      <c r="F968" s="1"/>
      <c r="G968" s="1"/>
      <c r="H968" s="1" t="str">
        <f t="shared" si="2"/>
        <v/>
      </c>
      <c r="J968" s="274"/>
      <c r="K968" s="72"/>
      <c r="L968" s="72"/>
      <c r="M968" s="72"/>
      <c r="N968" s="72"/>
      <c r="O968" s="72"/>
      <c r="P968" s="72"/>
      <c r="Q968" s="72"/>
      <c r="R968" s="72"/>
      <c r="S968" s="72"/>
      <c r="T968" s="72"/>
      <c r="V968" s="72"/>
      <c r="W968" s="72"/>
      <c r="X968" s="72" t="str">
        <f t="shared" si="3"/>
        <v/>
      </c>
      <c r="Y968" s="72"/>
    </row>
    <row r="969">
      <c r="B969" s="1"/>
      <c r="C969" s="1"/>
      <c r="D969" s="1" t="str">
        <f t="shared" si="1"/>
        <v/>
      </c>
      <c r="F969" s="1"/>
      <c r="G969" s="1"/>
      <c r="H969" s="1" t="str">
        <f t="shared" si="2"/>
        <v/>
      </c>
      <c r="J969" s="274"/>
      <c r="K969" s="72"/>
      <c r="L969" s="72"/>
      <c r="M969" s="72"/>
      <c r="N969" s="72"/>
      <c r="O969" s="72"/>
      <c r="P969" s="72"/>
      <c r="Q969" s="72"/>
      <c r="R969" s="72"/>
      <c r="S969" s="72"/>
      <c r="T969" s="72"/>
      <c r="V969" s="72"/>
      <c r="W969" s="72"/>
      <c r="X969" s="72" t="str">
        <f t="shared" si="3"/>
        <v/>
      </c>
      <c r="Y969" s="72"/>
    </row>
    <row r="970">
      <c r="B970" s="1"/>
      <c r="C970" s="1"/>
      <c r="D970" s="1" t="str">
        <f t="shared" si="1"/>
        <v/>
      </c>
      <c r="F970" s="1"/>
      <c r="G970" s="1"/>
      <c r="H970" s="1" t="str">
        <f t="shared" si="2"/>
        <v/>
      </c>
      <c r="J970" s="274"/>
      <c r="K970" s="72"/>
      <c r="L970" s="72"/>
      <c r="M970" s="72"/>
      <c r="N970" s="72"/>
      <c r="O970" s="72"/>
      <c r="P970" s="72"/>
      <c r="Q970" s="72"/>
      <c r="R970" s="72"/>
      <c r="S970" s="72"/>
      <c r="T970" s="72"/>
      <c r="V970" s="72"/>
      <c r="W970" s="72"/>
      <c r="X970" s="72" t="str">
        <f t="shared" si="3"/>
        <v/>
      </c>
      <c r="Y970" s="72"/>
    </row>
    <row r="971">
      <c r="B971" s="1"/>
      <c r="C971" s="1"/>
      <c r="D971" s="1" t="str">
        <f t="shared" si="1"/>
        <v/>
      </c>
      <c r="F971" s="1"/>
      <c r="G971" s="1"/>
      <c r="H971" s="1" t="str">
        <f t="shared" si="2"/>
        <v/>
      </c>
      <c r="J971" s="274"/>
      <c r="K971" s="72"/>
      <c r="L971" s="72"/>
      <c r="M971" s="72"/>
      <c r="N971" s="72"/>
      <c r="O971" s="72"/>
      <c r="P971" s="72"/>
      <c r="Q971" s="72"/>
      <c r="R971" s="72"/>
      <c r="S971" s="72"/>
      <c r="T971" s="72"/>
      <c r="V971" s="72"/>
      <c r="W971" s="72"/>
      <c r="X971" s="72" t="str">
        <f t="shared" si="3"/>
        <v/>
      </c>
      <c r="Y971" s="72"/>
    </row>
    <row r="972">
      <c r="B972" s="1"/>
      <c r="C972" s="1"/>
      <c r="D972" s="1" t="str">
        <f t="shared" si="1"/>
        <v/>
      </c>
      <c r="F972" s="1"/>
      <c r="G972" s="1"/>
      <c r="H972" s="1" t="str">
        <f t="shared" si="2"/>
        <v/>
      </c>
      <c r="J972" s="274"/>
      <c r="K972" s="72"/>
      <c r="L972" s="72"/>
      <c r="M972" s="72"/>
      <c r="N972" s="72"/>
      <c r="O972" s="72"/>
      <c r="P972" s="72"/>
      <c r="Q972" s="72"/>
      <c r="R972" s="72"/>
      <c r="S972" s="72"/>
      <c r="T972" s="72"/>
      <c r="V972" s="72"/>
      <c r="W972" s="72"/>
      <c r="X972" s="72" t="str">
        <f t="shared" si="3"/>
        <v/>
      </c>
      <c r="Y972" s="72"/>
    </row>
    <row r="973">
      <c r="B973" s="1"/>
      <c r="C973" s="1"/>
      <c r="D973" s="1" t="str">
        <f t="shared" si="1"/>
        <v/>
      </c>
      <c r="F973" s="1"/>
      <c r="G973" s="1"/>
      <c r="H973" s="1" t="str">
        <f t="shared" si="2"/>
        <v/>
      </c>
      <c r="J973" s="274"/>
      <c r="K973" s="72"/>
      <c r="L973" s="72"/>
      <c r="M973" s="72"/>
      <c r="N973" s="72"/>
      <c r="O973" s="72"/>
      <c r="P973" s="72"/>
      <c r="Q973" s="72"/>
      <c r="R973" s="72"/>
      <c r="S973" s="72"/>
      <c r="T973" s="72"/>
      <c r="V973" s="72"/>
      <c r="W973" s="72"/>
      <c r="X973" s="72" t="str">
        <f t="shared" si="3"/>
        <v/>
      </c>
      <c r="Y973" s="72"/>
    </row>
    <row r="974">
      <c r="B974" s="1"/>
      <c r="C974" s="1"/>
      <c r="D974" s="1" t="str">
        <f t="shared" si="1"/>
        <v/>
      </c>
      <c r="F974" s="1"/>
      <c r="G974" s="1"/>
      <c r="H974" s="1" t="str">
        <f t="shared" si="2"/>
        <v/>
      </c>
      <c r="J974" s="274"/>
      <c r="K974" s="72"/>
      <c r="L974" s="72"/>
      <c r="M974" s="72"/>
      <c r="N974" s="72"/>
      <c r="O974" s="72"/>
      <c r="P974" s="72"/>
      <c r="Q974" s="72"/>
      <c r="R974" s="72"/>
      <c r="S974" s="72"/>
      <c r="T974" s="72"/>
      <c r="V974" s="72"/>
      <c r="W974" s="72"/>
      <c r="X974" s="72" t="str">
        <f t="shared" si="3"/>
        <v/>
      </c>
      <c r="Y974" s="72"/>
    </row>
    <row r="975">
      <c r="B975" s="1"/>
      <c r="C975" s="1"/>
      <c r="D975" s="1" t="str">
        <f t="shared" si="1"/>
        <v/>
      </c>
      <c r="F975" s="1"/>
      <c r="G975" s="1"/>
      <c r="H975" s="1" t="str">
        <f t="shared" si="2"/>
        <v/>
      </c>
      <c r="J975" s="274"/>
      <c r="K975" s="72"/>
      <c r="L975" s="72"/>
      <c r="M975" s="72"/>
      <c r="N975" s="72"/>
      <c r="O975" s="72"/>
      <c r="P975" s="72"/>
      <c r="Q975" s="72"/>
      <c r="R975" s="72"/>
      <c r="S975" s="72"/>
      <c r="T975" s="72"/>
      <c r="V975" s="72"/>
      <c r="W975" s="72"/>
      <c r="X975" s="72" t="str">
        <f t="shared" si="3"/>
        <v/>
      </c>
      <c r="Y975" s="72"/>
    </row>
    <row r="976">
      <c r="B976" s="1"/>
      <c r="C976" s="1"/>
      <c r="D976" s="1" t="str">
        <f t="shared" si="1"/>
        <v/>
      </c>
      <c r="F976" s="1"/>
      <c r="G976" s="1"/>
      <c r="H976" s="1" t="str">
        <f t="shared" si="2"/>
        <v/>
      </c>
      <c r="J976" s="274"/>
      <c r="K976" s="72"/>
      <c r="L976" s="72"/>
      <c r="M976" s="72"/>
      <c r="N976" s="72"/>
      <c r="O976" s="72"/>
      <c r="P976" s="72"/>
      <c r="Q976" s="72"/>
      <c r="R976" s="72"/>
      <c r="S976" s="72"/>
      <c r="T976" s="72"/>
      <c r="V976" s="72"/>
      <c r="W976" s="72"/>
      <c r="X976" s="72" t="str">
        <f t="shared" si="3"/>
        <v/>
      </c>
      <c r="Y976" s="72"/>
    </row>
    <row r="977">
      <c r="B977" s="1"/>
      <c r="C977" s="1"/>
      <c r="D977" s="1" t="str">
        <f t="shared" si="1"/>
        <v/>
      </c>
      <c r="F977" s="1"/>
      <c r="G977" s="1"/>
      <c r="H977" s="1" t="str">
        <f t="shared" si="2"/>
        <v/>
      </c>
      <c r="J977" s="274"/>
      <c r="K977" s="72"/>
      <c r="L977" s="72"/>
      <c r="M977" s="72"/>
      <c r="N977" s="72"/>
      <c r="O977" s="72"/>
      <c r="P977" s="72"/>
      <c r="Q977" s="72"/>
      <c r="R977" s="72"/>
      <c r="S977" s="72"/>
      <c r="T977" s="72"/>
      <c r="V977" s="72"/>
      <c r="W977" s="72"/>
      <c r="X977" s="72" t="str">
        <f t="shared" si="3"/>
        <v/>
      </c>
      <c r="Y977" s="72"/>
    </row>
    <row r="978">
      <c r="B978" s="1"/>
      <c r="C978" s="1"/>
      <c r="D978" s="1" t="str">
        <f t="shared" si="1"/>
        <v/>
      </c>
      <c r="F978" s="1"/>
      <c r="G978" s="1"/>
      <c r="H978" s="1" t="str">
        <f t="shared" si="2"/>
        <v/>
      </c>
      <c r="J978" s="274"/>
      <c r="K978" s="72"/>
      <c r="L978" s="72"/>
      <c r="M978" s="72"/>
      <c r="N978" s="72"/>
      <c r="O978" s="72"/>
      <c r="P978" s="72"/>
      <c r="Q978" s="72"/>
      <c r="R978" s="72"/>
      <c r="S978" s="72"/>
      <c r="T978" s="72"/>
      <c r="V978" s="72"/>
      <c r="W978" s="72"/>
      <c r="X978" s="72" t="str">
        <f t="shared" si="3"/>
        <v/>
      </c>
      <c r="Y978" s="72"/>
    </row>
    <row r="979">
      <c r="B979" s="1"/>
      <c r="C979" s="1"/>
      <c r="D979" s="1" t="str">
        <f t="shared" si="1"/>
        <v/>
      </c>
      <c r="F979" s="1"/>
      <c r="G979" s="1"/>
      <c r="H979" s="1" t="str">
        <f t="shared" si="2"/>
        <v/>
      </c>
      <c r="J979" s="274"/>
      <c r="K979" s="72"/>
      <c r="L979" s="72"/>
      <c r="M979" s="72"/>
      <c r="N979" s="72"/>
      <c r="O979" s="72"/>
      <c r="P979" s="72"/>
      <c r="Q979" s="72"/>
      <c r="R979" s="72"/>
      <c r="S979" s="72"/>
      <c r="T979" s="72"/>
      <c r="V979" s="72"/>
      <c r="W979" s="72"/>
      <c r="X979" s="72" t="str">
        <f t="shared" si="3"/>
        <v/>
      </c>
      <c r="Y979" s="72"/>
    </row>
    <row r="980">
      <c r="B980" s="1"/>
      <c r="C980" s="1"/>
      <c r="D980" s="1" t="str">
        <f t="shared" si="1"/>
        <v/>
      </c>
      <c r="F980" s="1"/>
      <c r="G980" s="1"/>
      <c r="H980" s="1" t="str">
        <f t="shared" si="2"/>
        <v/>
      </c>
      <c r="J980" s="274"/>
      <c r="K980" s="72"/>
      <c r="L980" s="72"/>
      <c r="M980" s="72"/>
      <c r="N980" s="72"/>
      <c r="O980" s="72"/>
      <c r="P980" s="72"/>
      <c r="Q980" s="72"/>
      <c r="R980" s="72"/>
      <c r="S980" s="72"/>
      <c r="T980" s="72"/>
      <c r="V980" s="72"/>
      <c r="W980" s="72"/>
      <c r="X980" s="72" t="str">
        <f t="shared" si="3"/>
        <v/>
      </c>
      <c r="Y980" s="72"/>
    </row>
    <row r="981">
      <c r="B981" s="1"/>
      <c r="C981" s="1"/>
      <c r="D981" s="1" t="str">
        <f t="shared" si="1"/>
        <v/>
      </c>
      <c r="F981" s="1"/>
      <c r="G981" s="1"/>
      <c r="H981" s="1" t="str">
        <f t="shared" si="2"/>
        <v/>
      </c>
      <c r="J981" s="274"/>
      <c r="K981" s="72"/>
      <c r="L981" s="72"/>
      <c r="M981" s="72"/>
      <c r="N981" s="72"/>
      <c r="O981" s="72"/>
      <c r="P981" s="72"/>
      <c r="Q981" s="72"/>
      <c r="R981" s="72"/>
      <c r="S981" s="72"/>
      <c r="T981" s="72"/>
      <c r="V981" s="72"/>
      <c r="W981" s="72"/>
      <c r="X981" s="72" t="str">
        <f t="shared" si="3"/>
        <v/>
      </c>
      <c r="Y981" s="72"/>
    </row>
    <row r="982">
      <c r="B982" s="1"/>
      <c r="C982" s="1"/>
      <c r="D982" s="1" t="str">
        <f t="shared" si="1"/>
        <v/>
      </c>
      <c r="F982" s="1"/>
      <c r="G982" s="1"/>
      <c r="H982" s="1" t="str">
        <f t="shared" si="2"/>
        <v/>
      </c>
      <c r="J982" s="274"/>
      <c r="K982" s="72"/>
      <c r="L982" s="72"/>
      <c r="M982" s="72"/>
      <c r="N982" s="72"/>
      <c r="O982" s="72"/>
      <c r="P982" s="72"/>
      <c r="Q982" s="72"/>
      <c r="R982" s="72"/>
      <c r="S982" s="72"/>
      <c r="T982" s="72"/>
      <c r="V982" s="72"/>
      <c r="W982" s="72"/>
      <c r="X982" s="72" t="str">
        <f t="shared" si="3"/>
        <v/>
      </c>
      <c r="Y982" s="72"/>
    </row>
    <row r="983">
      <c r="B983" s="1"/>
      <c r="C983" s="1"/>
      <c r="D983" s="1" t="str">
        <f t="shared" si="1"/>
        <v/>
      </c>
      <c r="F983" s="1"/>
      <c r="G983" s="1"/>
      <c r="H983" s="1" t="str">
        <f t="shared" si="2"/>
        <v/>
      </c>
      <c r="J983" s="274"/>
      <c r="K983" s="72"/>
      <c r="L983" s="72"/>
      <c r="M983" s="72"/>
      <c r="N983" s="72"/>
      <c r="O983" s="72"/>
      <c r="P983" s="72"/>
      <c r="Q983" s="72"/>
      <c r="R983" s="72"/>
      <c r="S983" s="72"/>
      <c r="T983" s="72"/>
      <c r="V983" s="72"/>
      <c r="W983" s="72"/>
      <c r="X983" s="72" t="str">
        <f t="shared" si="3"/>
        <v/>
      </c>
      <c r="Y983" s="72"/>
    </row>
    <row r="984">
      <c r="B984" s="1"/>
      <c r="C984" s="1"/>
      <c r="D984" s="1" t="str">
        <f t="shared" si="1"/>
        <v/>
      </c>
      <c r="F984" s="1"/>
      <c r="G984" s="1"/>
      <c r="H984" s="1" t="str">
        <f t="shared" si="2"/>
        <v/>
      </c>
      <c r="J984" s="274"/>
      <c r="K984" s="72"/>
      <c r="L984" s="72"/>
      <c r="M984" s="72"/>
      <c r="N984" s="72"/>
      <c r="O984" s="72"/>
      <c r="P984" s="72"/>
      <c r="Q984" s="72"/>
      <c r="R984" s="72"/>
      <c r="S984" s="72"/>
      <c r="T984" s="72"/>
      <c r="V984" s="72"/>
      <c r="W984" s="72"/>
      <c r="X984" s="72" t="str">
        <f t="shared" si="3"/>
        <v/>
      </c>
      <c r="Y984" s="72"/>
    </row>
    <row r="985">
      <c r="B985" s="1"/>
      <c r="C985" s="1"/>
      <c r="D985" s="1" t="str">
        <f t="shared" si="1"/>
        <v/>
      </c>
      <c r="F985" s="1"/>
      <c r="G985" s="1"/>
      <c r="H985" s="1" t="str">
        <f t="shared" si="2"/>
        <v/>
      </c>
      <c r="J985" s="274"/>
      <c r="K985" s="72"/>
      <c r="L985" s="72"/>
      <c r="M985" s="72"/>
      <c r="N985" s="72"/>
      <c r="O985" s="72"/>
      <c r="P985" s="72"/>
      <c r="Q985" s="72"/>
      <c r="R985" s="72"/>
      <c r="S985" s="72"/>
      <c r="T985" s="72"/>
      <c r="V985" s="72"/>
      <c r="W985" s="72"/>
      <c r="X985" s="72" t="str">
        <f t="shared" si="3"/>
        <v/>
      </c>
      <c r="Y985" s="72"/>
    </row>
    <row r="986">
      <c r="B986" s="1"/>
      <c r="C986" s="1"/>
      <c r="D986" s="1" t="str">
        <f t="shared" si="1"/>
        <v/>
      </c>
      <c r="F986" s="1"/>
      <c r="G986" s="1"/>
      <c r="H986" s="1" t="str">
        <f t="shared" si="2"/>
        <v/>
      </c>
      <c r="J986" s="274"/>
      <c r="K986" s="72"/>
      <c r="L986" s="72"/>
      <c r="M986" s="72"/>
      <c r="N986" s="72"/>
      <c r="O986" s="72"/>
      <c r="P986" s="72"/>
      <c r="Q986" s="72"/>
      <c r="R986" s="72"/>
      <c r="S986" s="72"/>
      <c r="T986" s="72"/>
      <c r="V986" s="72"/>
      <c r="W986" s="72"/>
      <c r="X986" s="72" t="str">
        <f t="shared" si="3"/>
        <v/>
      </c>
      <c r="Y986" s="72"/>
    </row>
    <row r="987">
      <c r="B987" s="1"/>
      <c r="C987" s="1"/>
      <c r="D987" s="1" t="str">
        <f t="shared" si="1"/>
        <v/>
      </c>
      <c r="F987" s="1"/>
      <c r="G987" s="1"/>
      <c r="H987" s="1" t="str">
        <f t="shared" si="2"/>
        <v/>
      </c>
      <c r="J987" s="274"/>
      <c r="K987" s="72"/>
      <c r="L987" s="72"/>
      <c r="M987" s="72"/>
      <c r="N987" s="72"/>
      <c r="O987" s="72"/>
      <c r="P987" s="72"/>
      <c r="Q987" s="72"/>
      <c r="R987" s="72"/>
      <c r="S987" s="72"/>
      <c r="T987" s="72"/>
      <c r="V987" s="72"/>
      <c r="W987" s="72"/>
      <c r="X987" s="72" t="str">
        <f t="shared" si="3"/>
        <v/>
      </c>
      <c r="Y987" s="72"/>
    </row>
    <row r="988">
      <c r="B988" s="1"/>
      <c r="C988" s="1"/>
      <c r="D988" s="1" t="str">
        <f t="shared" si="1"/>
        <v/>
      </c>
      <c r="F988" s="1"/>
      <c r="G988" s="1"/>
      <c r="H988" s="1" t="str">
        <f t="shared" si="2"/>
        <v/>
      </c>
      <c r="J988" s="274"/>
      <c r="K988" s="72"/>
      <c r="L988" s="72"/>
      <c r="M988" s="72"/>
      <c r="N988" s="72"/>
      <c r="O988" s="72"/>
      <c r="P988" s="72"/>
      <c r="Q988" s="72"/>
      <c r="R988" s="72"/>
      <c r="S988" s="72"/>
      <c r="T988" s="72"/>
      <c r="V988" s="72"/>
      <c r="W988" s="72"/>
      <c r="X988" s="72" t="str">
        <f t="shared" si="3"/>
        <v/>
      </c>
      <c r="Y988" s="72"/>
    </row>
    <row r="989">
      <c r="B989" s="1"/>
      <c r="C989" s="1"/>
      <c r="D989" s="1" t="str">
        <f t="shared" si="1"/>
        <v/>
      </c>
      <c r="F989" s="1"/>
      <c r="G989" s="1"/>
      <c r="H989" s="1" t="str">
        <f t="shared" si="2"/>
        <v/>
      </c>
      <c r="J989" s="274"/>
      <c r="K989" s="72"/>
      <c r="L989" s="72"/>
      <c r="M989" s="72"/>
      <c r="N989" s="72"/>
      <c r="O989" s="72"/>
      <c r="P989" s="72"/>
      <c r="Q989" s="72"/>
      <c r="R989" s="72"/>
      <c r="S989" s="72"/>
      <c r="T989" s="72"/>
      <c r="V989" s="72"/>
      <c r="W989" s="72"/>
      <c r="X989" s="72" t="str">
        <f t="shared" si="3"/>
        <v/>
      </c>
      <c r="Y989" s="72"/>
    </row>
    <row r="990">
      <c r="B990" s="1"/>
      <c r="C990" s="1"/>
      <c r="D990" s="1" t="str">
        <f t="shared" si="1"/>
        <v/>
      </c>
      <c r="F990" s="1"/>
      <c r="G990" s="1"/>
      <c r="H990" s="1" t="str">
        <f t="shared" si="2"/>
        <v/>
      </c>
      <c r="J990" s="274"/>
      <c r="K990" s="72"/>
      <c r="L990" s="72"/>
      <c r="M990" s="72"/>
      <c r="N990" s="72"/>
      <c r="O990" s="72"/>
      <c r="P990" s="72"/>
      <c r="Q990" s="72"/>
      <c r="R990" s="72"/>
      <c r="S990" s="72"/>
      <c r="T990" s="72"/>
      <c r="V990" s="72"/>
      <c r="W990" s="72"/>
      <c r="X990" s="72" t="str">
        <f t="shared" si="3"/>
        <v/>
      </c>
      <c r="Y990" s="72"/>
    </row>
    <row r="991">
      <c r="B991" s="1"/>
      <c r="C991" s="1"/>
      <c r="D991" s="1" t="str">
        <f t="shared" si="1"/>
        <v/>
      </c>
      <c r="F991" s="1"/>
      <c r="G991" s="1"/>
      <c r="H991" s="1" t="str">
        <f t="shared" si="2"/>
        <v/>
      </c>
      <c r="J991" s="274"/>
      <c r="K991" s="72"/>
      <c r="L991" s="72"/>
      <c r="M991" s="72"/>
      <c r="N991" s="72"/>
      <c r="O991" s="72"/>
      <c r="P991" s="72"/>
      <c r="Q991" s="72"/>
      <c r="R991" s="72"/>
      <c r="S991" s="72"/>
      <c r="T991" s="72"/>
      <c r="V991" s="72"/>
      <c r="W991" s="72"/>
      <c r="X991" s="72" t="str">
        <f t="shared" si="3"/>
        <v/>
      </c>
      <c r="Y991" s="72"/>
    </row>
    <row r="992">
      <c r="B992" s="1"/>
      <c r="C992" s="1"/>
      <c r="D992" s="1" t="str">
        <f t="shared" si="1"/>
        <v/>
      </c>
      <c r="F992" s="1"/>
      <c r="G992" s="1"/>
      <c r="H992" s="1" t="str">
        <f t="shared" si="2"/>
        <v/>
      </c>
      <c r="J992" s="274"/>
      <c r="K992" s="72"/>
      <c r="L992" s="72"/>
      <c r="M992" s="72"/>
      <c r="N992" s="72"/>
      <c r="O992" s="72"/>
      <c r="P992" s="72"/>
      <c r="Q992" s="72"/>
      <c r="R992" s="72"/>
      <c r="S992" s="72"/>
      <c r="T992" s="72"/>
      <c r="V992" s="72"/>
      <c r="W992" s="72"/>
      <c r="X992" s="72" t="str">
        <f t="shared" si="3"/>
        <v/>
      </c>
      <c r="Y992" s="72"/>
    </row>
    <row r="993">
      <c r="B993" s="1"/>
      <c r="C993" s="1"/>
      <c r="D993" s="1" t="str">
        <f t="shared" si="1"/>
        <v/>
      </c>
      <c r="F993" s="1"/>
      <c r="G993" s="1"/>
      <c r="H993" s="1" t="str">
        <f t="shared" si="2"/>
        <v/>
      </c>
      <c r="J993" s="274"/>
      <c r="K993" s="72"/>
      <c r="L993" s="72"/>
      <c r="M993" s="72"/>
      <c r="N993" s="72"/>
      <c r="O993" s="72"/>
      <c r="P993" s="72"/>
      <c r="Q993" s="72"/>
      <c r="R993" s="72"/>
      <c r="S993" s="72"/>
      <c r="T993" s="72"/>
      <c r="V993" s="72"/>
      <c r="W993" s="72"/>
      <c r="X993" s="72" t="str">
        <f t="shared" si="3"/>
        <v/>
      </c>
      <c r="Y993" s="72"/>
    </row>
    <row r="994">
      <c r="B994" s="1"/>
      <c r="C994" s="1"/>
      <c r="D994" s="1" t="str">
        <f t="shared" si="1"/>
        <v/>
      </c>
      <c r="F994" s="1"/>
      <c r="G994" s="1"/>
      <c r="H994" s="1" t="str">
        <f t="shared" si="2"/>
        <v/>
      </c>
      <c r="J994" s="274"/>
      <c r="K994" s="72"/>
      <c r="L994" s="72"/>
      <c r="M994" s="72"/>
      <c r="N994" s="72"/>
      <c r="O994" s="72"/>
      <c r="P994" s="72"/>
      <c r="Q994" s="72"/>
      <c r="R994" s="72"/>
      <c r="S994" s="72"/>
      <c r="T994" s="72"/>
      <c r="V994" s="72"/>
      <c r="W994" s="72"/>
      <c r="X994" s="72" t="str">
        <f t="shared" si="3"/>
        <v/>
      </c>
      <c r="Y994" s="72"/>
    </row>
    <row r="995">
      <c r="B995" s="1"/>
      <c r="C995" s="1"/>
      <c r="D995" s="1" t="str">
        <f t="shared" si="1"/>
        <v/>
      </c>
      <c r="F995" s="1"/>
      <c r="G995" s="1"/>
      <c r="H995" s="1" t="str">
        <f t="shared" si="2"/>
        <v/>
      </c>
      <c r="J995" s="274"/>
      <c r="K995" s="72"/>
      <c r="L995" s="72"/>
      <c r="M995" s="72"/>
      <c r="N995" s="72"/>
      <c r="O995" s="72"/>
      <c r="P995" s="72"/>
      <c r="Q995" s="72"/>
      <c r="R995" s="72"/>
      <c r="S995" s="72"/>
      <c r="T995" s="72"/>
      <c r="V995" s="72"/>
      <c r="W995" s="72"/>
      <c r="X995" s="72" t="str">
        <f t="shared" si="3"/>
        <v/>
      </c>
      <c r="Y995" s="72"/>
    </row>
    <row r="996">
      <c r="B996" s="1"/>
      <c r="C996" s="1"/>
      <c r="D996" s="1" t="str">
        <f t="shared" si="1"/>
        <v/>
      </c>
      <c r="F996" s="1"/>
      <c r="G996" s="1"/>
      <c r="H996" s="1" t="str">
        <f t="shared" si="2"/>
        <v/>
      </c>
      <c r="J996" s="274"/>
      <c r="K996" s="72"/>
      <c r="L996" s="72"/>
      <c r="M996" s="72"/>
      <c r="N996" s="72"/>
      <c r="O996" s="72"/>
      <c r="P996" s="72"/>
      <c r="Q996" s="72"/>
      <c r="R996" s="72"/>
      <c r="S996" s="72"/>
      <c r="T996" s="72"/>
      <c r="V996" s="72"/>
      <c r="W996" s="72"/>
      <c r="X996" s="72" t="str">
        <f t="shared" si="3"/>
        <v/>
      </c>
      <c r="Y996" s="72"/>
    </row>
    <row r="997">
      <c r="B997" s="1"/>
      <c r="C997" s="1"/>
      <c r="D997" s="1" t="str">
        <f t="shared" si="1"/>
        <v/>
      </c>
      <c r="F997" s="1"/>
      <c r="G997" s="1"/>
      <c r="H997" s="1" t="str">
        <f t="shared" si="2"/>
        <v/>
      </c>
      <c r="J997" s="274"/>
      <c r="K997" s="72"/>
      <c r="L997" s="72"/>
      <c r="M997" s="72"/>
      <c r="N997" s="72"/>
      <c r="O997" s="72"/>
      <c r="P997" s="72"/>
      <c r="Q997" s="72"/>
      <c r="R997" s="72"/>
      <c r="S997" s="72"/>
      <c r="T997" s="72"/>
      <c r="V997" s="72"/>
      <c r="W997" s="72"/>
      <c r="X997" s="72" t="str">
        <f t="shared" si="3"/>
        <v/>
      </c>
      <c r="Y997" s="72"/>
    </row>
    <row r="998">
      <c r="B998" s="1"/>
      <c r="C998" s="1"/>
      <c r="D998" s="1" t="str">
        <f t="shared" si="1"/>
        <v/>
      </c>
      <c r="F998" s="1"/>
      <c r="G998" s="1"/>
      <c r="H998" s="1" t="str">
        <f t="shared" si="2"/>
        <v/>
      </c>
      <c r="J998" s="274"/>
      <c r="K998" s="72"/>
      <c r="L998" s="72"/>
      <c r="M998" s="72"/>
      <c r="N998" s="72"/>
      <c r="O998" s="72"/>
      <c r="P998" s="72"/>
      <c r="Q998" s="72"/>
      <c r="R998" s="72"/>
      <c r="S998" s="72"/>
      <c r="T998" s="72"/>
      <c r="V998" s="72"/>
      <c r="W998" s="72"/>
      <c r="X998" s="72" t="str">
        <f t="shared" si="3"/>
        <v/>
      </c>
      <c r="Y998" s="72"/>
    </row>
    <row r="999">
      <c r="B999" s="1"/>
      <c r="C999" s="1"/>
      <c r="D999" s="1" t="str">
        <f t="shared" si="1"/>
        <v/>
      </c>
      <c r="F999" s="1"/>
      <c r="G999" s="1"/>
      <c r="H999" s="1" t="str">
        <f t="shared" si="2"/>
        <v/>
      </c>
      <c r="J999" s="274"/>
      <c r="K999" s="72"/>
      <c r="L999" s="72"/>
      <c r="M999" s="72"/>
      <c r="N999" s="72"/>
      <c r="O999" s="72"/>
      <c r="P999" s="72"/>
      <c r="Q999" s="72"/>
      <c r="R999" s="72"/>
      <c r="S999" s="72"/>
      <c r="T999" s="72"/>
      <c r="V999" s="72"/>
      <c r="W999" s="72"/>
      <c r="X999" s="72" t="str">
        <f t="shared" si="3"/>
        <v/>
      </c>
      <c r="Y999" s="72"/>
    </row>
    <row r="1000">
      <c r="B1000" s="1"/>
      <c r="C1000" s="1"/>
      <c r="D1000" s="1" t="str">
        <f t="shared" si="1"/>
        <v/>
      </c>
      <c r="F1000" s="1"/>
      <c r="G1000" s="1"/>
      <c r="H1000" s="1" t="str">
        <f t="shared" si="2"/>
        <v/>
      </c>
      <c r="J1000" s="274"/>
      <c r="K1000" s="72"/>
      <c r="L1000" s="72"/>
      <c r="M1000" s="72"/>
      <c r="N1000" s="72"/>
      <c r="O1000" s="72"/>
      <c r="P1000" s="72"/>
      <c r="Q1000" s="72"/>
      <c r="R1000" s="72"/>
      <c r="S1000" s="72"/>
      <c r="T1000" s="72"/>
      <c r="V1000" s="72"/>
      <c r="W1000" s="72"/>
      <c r="X1000" s="72" t="str">
        <f t="shared" si="3"/>
        <v/>
      </c>
      <c r="Y1000" s="72"/>
    </row>
  </sheetData>
  <mergeCells count="502">
    <mergeCell ref="J463:J464"/>
    <mergeCell ref="J451:J452"/>
    <mergeCell ref="J461:J462"/>
    <mergeCell ref="J453:J454"/>
    <mergeCell ref="J459:J460"/>
    <mergeCell ref="J431:J432"/>
    <mergeCell ref="J433:J434"/>
    <mergeCell ref="J427:J428"/>
    <mergeCell ref="J429:J430"/>
    <mergeCell ref="J421:J422"/>
    <mergeCell ref="J419:J420"/>
    <mergeCell ref="J467:J468"/>
    <mergeCell ref="J465:J466"/>
    <mergeCell ref="J445:J446"/>
    <mergeCell ref="J263:J264"/>
    <mergeCell ref="J287:J288"/>
    <mergeCell ref="J277:J278"/>
    <mergeCell ref="J279:J280"/>
    <mergeCell ref="J267:J268"/>
    <mergeCell ref="J273:J274"/>
    <mergeCell ref="J285:J286"/>
    <mergeCell ref="J283:J284"/>
    <mergeCell ref="J355:J356"/>
    <mergeCell ref="J353:J354"/>
    <mergeCell ref="J351:J352"/>
    <mergeCell ref="J339:J340"/>
    <mergeCell ref="J341:J342"/>
    <mergeCell ref="J299:J300"/>
    <mergeCell ref="J297:J298"/>
    <mergeCell ref="J293:J294"/>
    <mergeCell ref="J319:J320"/>
    <mergeCell ref="J305:J306"/>
    <mergeCell ref="J253:J254"/>
    <mergeCell ref="J245:J246"/>
    <mergeCell ref="J243:J244"/>
    <mergeCell ref="J389:J390"/>
    <mergeCell ref="J381:J382"/>
    <mergeCell ref="J383:J384"/>
    <mergeCell ref="J369:J370"/>
    <mergeCell ref="J321:J322"/>
    <mergeCell ref="J261:J262"/>
    <mergeCell ref="J257:J258"/>
    <mergeCell ref="J349:J350"/>
    <mergeCell ref="J347:J348"/>
    <mergeCell ref="J343:J344"/>
    <mergeCell ref="J345:J346"/>
    <mergeCell ref="J329:J330"/>
    <mergeCell ref="J323:J324"/>
    <mergeCell ref="J325:J326"/>
    <mergeCell ref="J327:J328"/>
    <mergeCell ref="J337:J338"/>
    <mergeCell ref="J335:J336"/>
    <mergeCell ref="J333:J334"/>
    <mergeCell ref="J331:J332"/>
    <mergeCell ref="J291:J292"/>
    <mergeCell ref="J289:J290"/>
    <mergeCell ref="J375:J376"/>
    <mergeCell ref="J379:J380"/>
    <mergeCell ref="J387:J388"/>
    <mergeCell ref="J385:J386"/>
    <mergeCell ref="J317:J318"/>
    <mergeCell ref="J309:J310"/>
    <mergeCell ref="J313:J314"/>
    <mergeCell ref="J315:J316"/>
    <mergeCell ref="J303:J304"/>
    <mergeCell ref="J295:J296"/>
    <mergeCell ref="J393:J394"/>
    <mergeCell ref="J391:J392"/>
    <mergeCell ref="J403:J404"/>
    <mergeCell ref="J405:J406"/>
    <mergeCell ref="J399:J400"/>
    <mergeCell ref="J397:J398"/>
    <mergeCell ref="J449:J450"/>
    <mergeCell ref="J447:J448"/>
    <mergeCell ref="J203:J204"/>
    <mergeCell ref="J195:J196"/>
    <mergeCell ref="J233:J234"/>
    <mergeCell ref="J223:J224"/>
    <mergeCell ref="J239:J240"/>
    <mergeCell ref="J131:J132"/>
    <mergeCell ref="J111:J112"/>
    <mergeCell ref="J113:J114"/>
    <mergeCell ref="J479:J480"/>
    <mergeCell ref="J475:J476"/>
    <mergeCell ref="J477:J478"/>
    <mergeCell ref="J493:J494"/>
    <mergeCell ref="J491:J492"/>
    <mergeCell ref="J489:J490"/>
    <mergeCell ref="J487:J488"/>
    <mergeCell ref="J485:J486"/>
    <mergeCell ref="J471:J472"/>
    <mergeCell ref="J481:J482"/>
    <mergeCell ref="J483:J484"/>
    <mergeCell ref="J235:J236"/>
    <mergeCell ref="I2:I1000"/>
    <mergeCell ref="A2:A1000"/>
    <mergeCell ref="E2:E1000"/>
    <mergeCell ref="J225:J226"/>
    <mergeCell ref="J181:J182"/>
    <mergeCell ref="J179:J180"/>
    <mergeCell ref="J67:J68"/>
    <mergeCell ref="J199:J200"/>
    <mergeCell ref="J201:J202"/>
    <mergeCell ref="J197:J198"/>
    <mergeCell ref="J191:J192"/>
    <mergeCell ref="J193:J194"/>
    <mergeCell ref="J207:J208"/>
    <mergeCell ref="J209:J210"/>
    <mergeCell ref="J205:J206"/>
    <mergeCell ref="J167:J168"/>
    <mergeCell ref="J155:J156"/>
    <mergeCell ref="J161:J162"/>
    <mergeCell ref="J143:J144"/>
    <mergeCell ref="J139:J140"/>
    <mergeCell ref="J231:J232"/>
    <mergeCell ref="J229:J230"/>
    <mergeCell ref="J217:J218"/>
    <mergeCell ref="J211:J212"/>
    <mergeCell ref="J107:J108"/>
    <mergeCell ref="J109:J110"/>
    <mergeCell ref="J469:J470"/>
    <mergeCell ref="J473:J474"/>
    <mergeCell ref="K461:T462"/>
    <mergeCell ref="K451:T452"/>
    <mergeCell ref="K453:T454"/>
    <mergeCell ref="K455:T456"/>
    <mergeCell ref="K459:T460"/>
    <mergeCell ref="K457:T458"/>
    <mergeCell ref="K431:T432"/>
    <mergeCell ref="K429:T430"/>
    <mergeCell ref="K439:T440"/>
    <mergeCell ref="K467:T468"/>
    <mergeCell ref="K463:T464"/>
    <mergeCell ref="K437:T438"/>
    <mergeCell ref="K465:T466"/>
    <mergeCell ref="K449:T450"/>
    <mergeCell ref="K393:T394"/>
    <mergeCell ref="K399:T400"/>
    <mergeCell ref="K415:T416"/>
    <mergeCell ref="K413:T414"/>
    <mergeCell ref="J409:J410"/>
    <mergeCell ref="J411:J412"/>
    <mergeCell ref="K419:T420"/>
    <mergeCell ref="K417:T418"/>
    <mergeCell ref="K421:T422"/>
    <mergeCell ref="J417:J418"/>
    <mergeCell ref="K433:T434"/>
    <mergeCell ref="K435:T436"/>
    <mergeCell ref="K441:T442"/>
    <mergeCell ref="K447:T448"/>
    <mergeCell ref="K445:T446"/>
    <mergeCell ref="K443:T444"/>
    <mergeCell ref="J407:J408"/>
    <mergeCell ref="K377:T378"/>
    <mergeCell ref="K381:T382"/>
    <mergeCell ref="K385:T386"/>
    <mergeCell ref="K383:T384"/>
    <mergeCell ref="K379:T380"/>
    <mergeCell ref="J377:J378"/>
    <mergeCell ref="K333:T334"/>
    <mergeCell ref="K335:T336"/>
    <mergeCell ref="K323:T324"/>
    <mergeCell ref="K311:T312"/>
    <mergeCell ref="K313:T314"/>
    <mergeCell ref="K319:T320"/>
    <mergeCell ref="K317:T318"/>
    <mergeCell ref="K321:T322"/>
    <mergeCell ref="K315:T316"/>
    <mergeCell ref="K269:T270"/>
    <mergeCell ref="K283:T284"/>
    <mergeCell ref="J271:J272"/>
    <mergeCell ref="J269:J270"/>
    <mergeCell ref="K425:T426"/>
    <mergeCell ref="K427:T428"/>
    <mergeCell ref="K423:T424"/>
    <mergeCell ref="K361:T362"/>
    <mergeCell ref="K305:T306"/>
    <mergeCell ref="J367:J368"/>
    <mergeCell ref="J371:J372"/>
    <mergeCell ref="K353:T354"/>
    <mergeCell ref="K351:T352"/>
    <mergeCell ref="K387:T388"/>
    <mergeCell ref="K391:T392"/>
    <mergeCell ref="K411:T412"/>
    <mergeCell ref="K389:T390"/>
    <mergeCell ref="K329:T330"/>
    <mergeCell ref="K325:T326"/>
    <mergeCell ref="K271:T272"/>
    <mergeCell ref="K281:T282"/>
    <mergeCell ref="K273:T274"/>
    <mergeCell ref="K337:T338"/>
    <mergeCell ref="K331:T332"/>
    <mergeCell ref="J173:J174"/>
    <mergeCell ref="J175:J176"/>
    <mergeCell ref="J177:J178"/>
    <mergeCell ref="J169:J170"/>
    <mergeCell ref="J171:J172"/>
    <mergeCell ref="J163:J164"/>
    <mergeCell ref="J165:J166"/>
    <mergeCell ref="J159:J160"/>
    <mergeCell ref="J157:J158"/>
    <mergeCell ref="K193:T194"/>
    <mergeCell ref="K195:T196"/>
    <mergeCell ref="K189:T190"/>
    <mergeCell ref="K191:T192"/>
    <mergeCell ref="K199:T200"/>
    <mergeCell ref="K201:T202"/>
    <mergeCell ref="K205:T206"/>
    <mergeCell ref="K197:T198"/>
    <mergeCell ref="K203:T204"/>
    <mergeCell ref="K403:T404"/>
    <mergeCell ref="K405:T406"/>
    <mergeCell ref="K409:T410"/>
    <mergeCell ref="K407:T408"/>
    <mergeCell ref="K395:T396"/>
    <mergeCell ref="J395:J396"/>
    <mergeCell ref="J401:J402"/>
    <mergeCell ref="K401:T402"/>
    <mergeCell ref="K397:T398"/>
    <mergeCell ref="K229:T230"/>
    <mergeCell ref="K227:T228"/>
    <mergeCell ref="J249:J250"/>
    <mergeCell ref="J251:J252"/>
    <mergeCell ref="K241:T242"/>
    <mergeCell ref="K239:T240"/>
    <mergeCell ref="J259:J260"/>
    <mergeCell ref="J255:J256"/>
    <mergeCell ref="K255:T256"/>
    <mergeCell ref="K253:T254"/>
    <mergeCell ref="K261:T262"/>
    <mergeCell ref="K259:T260"/>
    <mergeCell ref="K257:T258"/>
    <mergeCell ref="J219:J220"/>
    <mergeCell ref="J213:J214"/>
    <mergeCell ref="J215:J216"/>
    <mergeCell ref="K209:T210"/>
    <mergeCell ref="K219:T220"/>
    <mergeCell ref="K215:T216"/>
    <mergeCell ref="K217:T218"/>
    <mergeCell ref="K213:T214"/>
    <mergeCell ref="K245:T246"/>
    <mergeCell ref="K247:T248"/>
    <mergeCell ref="J237:J238"/>
    <mergeCell ref="K243:T244"/>
    <mergeCell ref="K233:T234"/>
    <mergeCell ref="K231:T232"/>
    <mergeCell ref="J247:J248"/>
    <mergeCell ref="K237:T238"/>
    <mergeCell ref="J227:J228"/>
    <mergeCell ref="K235:T236"/>
    <mergeCell ref="J415:J416"/>
    <mergeCell ref="J413:J414"/>
    <mergeCell ref="K371:T372"/>
    <mergeCell ref="K373:T374"/>
    <mergeCell ref="J373:J374"/>
    <mergeCell ref="K375:T376"/>
    <mergeCell ref="K363:T364"/>
    <mergeCell ref="K365:T366"/>
    <mergeCell ref="J359:J360"/>
    <mergeCell ref="J361:J362"/>
    <mergeCell ref="J365:J366"/>
    <mergeCell ref="J363:J364"/>
    <mergeCell ref="K367:T368"/>
    <mergeCell ref="K369:T370"/>
    <mergeCell ref="J457:J458"/>
    <mergeCell ref="J455:J456"/>
    <mergeCell ref="J423:J424"/>
    <mergeCell ref="J425:J426"/>
    <mergeCell ref="J435:J436"/>
    <mergeCell ref="J441:J442"/>
    <mergeCell ref="J443:J444"/>
    <mergeCell ref="J439:J440"/>
    <mergeCell ref="J437:J438"/>
    <mergeCell ref="K175:T176"/>
    <mergeCell ref="K225:T226"/>
    <mergeCell ref="K181:T182"/>
    <mergeCell ref="K179:T180"/>
    <mergeCell ref="K177:T178"/>
    <mergeCell ref="K185:T186"/>
    <mergeCell ref="K183:T184"/>
    <mergeCell ref="K187:T188"/>
    <mergeCell ref="J612:T612"/>
    <mergeCell ref="K493:T494"/>
    <mergeCell ref="J495:T495"/>
    <mergeCell ref="S496:T496"/>
    <mergeCell ref="K487:T488"/>
    <mergeCell ref="K491:T492"/>
    <mergeCell ref="K489:T490"/>
    <mergeCell ref="K485:T486"/>
    <mergeCell ref="K483:T484"/>
    <mergeCell ref="K475:T476"/>
    <mergeCell ref="K477:T478"/>
    <mergeCell ref="K479:T480"/>
    <mergeCell ref="K481:T482"/>
    <mergeCell ref="K473:T474"/>
    <mergeCell ref="K469:T470"/>
    <mergeCell ref="K471:T472"/>
    <mergeCell ref="K167:T168"/>
    <mergeCell ref="K169:T170"/>
    <mergeCell ref="K171:T172"/>
    <mergeCell ref="K173:T174"/>
    <mergeCell ref="U2:U1000"/>
    <mergeCell ref="Z2:Z1000"/>
    <mergeCell ref="K263:T264"/>
    <mergeCell ref="K23:T24"/>
    <mergeCell ref="K163:T164"/>
    <mergeCell ref="K161:T162"/>
    <mergeCell ref="J151:J152"/>
    <mergeCell ref="J153:J154"/>
    <mergeCell ref="K165:T166"/>
    <mergeCell ref="K153:T154"/>
    <mergeCell ref="K155:T156"/>
    <mergeCell ref="K157:T158"/>
    <mergeCell ref="K159:T160"/>
    <mergeCell ref="K151:T152"/>
    <mergeCell ref="J241:J242"/>
    <mergeCell ref="J265:J266"/>
    <mergeCell ref="J183:J184"/>
    <mergeCell ref="J185:J186"/>
    <mergeCell ref="J187:J188"/>
    <mergeCell ref="J189:J190"/>
    <mergeCell ref="K221:T222"/>
    <mergeCell ref="K223:T224"/>
    <mergeCell ref="J221:J222"/>
    <mergeCell ref="K207:T208"/>
    <mergeCell ref="K211:T212"/>
    <mergeCell ref="K267:T268"/>
    <mergeCell ref="K265:T266"/>
    <mergeCell ref="K279:T280"/>
    <mergeCell ref="K275:T276"/>
    <mergeCell ref="K277:T278"/>
    <mergeCell ref="J275:J276"/>
    <mergeCell ref="J281:J282"/>
    <mergeCell ref="K149:T150"/>
    <mergeCell ref="J149:J150"/>
    <mergeCell ref="K291:T292"/>
    <mergeCell ref="K285:T286"/>
    <mergeCell ref="K287:T288"/>
    <mergeCell ref="K289:T290"/>
    <mergeCell ref="K251:T252"/>
    <mergeCell ref="K249:T250"/>
    <mergeCell ref="K147:T148"/>
    <mergeCell ref="K303:T304"/>
    <mergeCell ref="K301:T302"/>
    <mergeCell ref="K299:T300"/>
    <mergeCell ref="J301:J302"/>
    <mergeCell ref="K293:T294"/>
    <mergeCell ref="J147:J148"/>
    <mergeCell ref="J123:J124"/>
    <mergeCell ref="K125:T126"/>
    <mergeCell ref="K123:T124"/>
    <mergeCell ref="K127:T128"/>
    <mergeCell ref="K129:T130"/>
    <mergeCell ref="K135:T136"/>
    <mergeCell ref="K137:T138"/>
    <mergeCell ref="J121:J122"/>
    <mergeCell ref="K133:T134"/>
    <mergeCell ref="K145:T146"/>
    <mergeCell ref="K141:T142"/>
    <mergeCell ref="K143:T144"/>
    <mergeCell ref="K131:T132"/>
    <mergeCell ref="K139:T140"/>
    <mergeCell ref="K121:T122"/>
    <mergeCell ref="K297:T298"/>
    <mergeCell ref="K295:T296"/>
    <mergeCell ref="J307:J308"/>
    <mergeCell ref="J311:J312"/>
    <mergeCell ref="K307:T308"/>
    <mergeCell ref="K309:T310"/>
    <mergeCell ref="K339:T340"/>
    <mergeCell ref="K327:T328"/>
    <mergeCell ref="J77:J78"/>
    <mergeCell ref="K77:T78"/>
    <mergeCell ref="K79:T80"/>
    <mergeCell ref="K81:T82"/>
    <mergeCell ref="K69:T70"/>
    <mergeCell ref="K71:T72"/>
    <mergeCell ref="K87:T88"/>
    <mergeCell ref="K85:T86"/>
    <mergeCell ref="K65:T66"/>
    <mergeCell ref="J65:J66"/>
    <mergeCell ref="K63:T64"/>
    <mergeCell ref="K83:T84"/>
    <mergeCell ref="K67:T68"/>
    <mergeCell ref="J89:J90"/>
    <mergeCell ref="K75:T76"/>
    <mergeCell ref="K73:T74"/>
    <mergeCell ref="K89:T90"/>
    <mergeCell ref="K21:T22"/>
    <mergeCell ref="K25:T26"/>
    <mergeCell ref="K17:T18"/>
    <mergeCell ref="K15:T16"/>
    <mergeCell ref="K13:T14"/>
    <mergeCell ref="J11:J12"/>
    <mergeCell ref="J13:J14"/>
    <mergeCell ref="J21:J22"/>
    <mergeCell ref="K11:T12"/>
    <mergeCell ref="K31:T32"/>
    <mergeCell ref="K33:T34"/>
    <mergeCell ref="K35:T36"/>
    <mergeCell ref="K61:T62"/>
    <mergeCell ref="J59:J60"/>
    <mergeCell ref="K59:T60"/>
    <mergeCell ref="J43:J44"/>
    <mergeCell ref="J41:J42"/>
    <mergeCell ref="K41:T42"/>
    <mergeCell ref="K55:T56"/>
    <mergeCell ref="J55:J56"/>
    <mergeCell ref="K57:T58"/>
    <mergeCell ref="J57:J58"/>
    <mergeCell ref="J47:J48"/>
    <mergeCell ref="K47:T48"/>
    <mergeCell ref="K49:T50"/>
    <mergeCell ref="K51:T52"/>
    <mergeCell ref="J45:J46"/>
    <mergeCell ref="J49:J50"/>
    <mergeCell ref="J51:J52"/>
    <mergeCell ref="J53:J54"/>
    <mergeCell ref="K53:T54"/>
    <mergeCell ref="A1:Z1"/>
    <mergeCell ref="K2:T2"/>
    <mergeCell ref="K3:T4"/>
    <mergeCell ref="J125:J126"/>
    <mergeCell ref="J99:J100"/>
    <mergeCell ref="J105:J106"/>
    <mergeCell ref="J117:J118"/>
    <mergeCell ref="J115:J116"/>
    <mergeCell ref="J103:J104"/>
    <mergeCell ref="J101:J102"/>
    <mergeCell ref="J95:J96"/>
    <mergeCell ref="J93:J94"/>
    <mergeCell ref="J97:J98"/>
    <mergeCell ref="J87:J88"/>
    <mergeCell ref="J91:J92"/>
    <mergeCell ref="J63:J64"/>
    <mergeCell ref="J81:J82"/>
    <mergeCell ref="J73:J74"/>
    <mergeCell ref="J75:J76"/>
    <mergeCell ref="J69:J70"/>
    <mergeCell ref="J83:J84"/>
    <mergeCell ref="J85:J86"/>
    <mergeCell ref="J145:J146"/>
    <mergeCell ref="J141:J142"/>
    <mergeCell ref="J17:J18"/>
    <mergeCell ref="J15:J16"/>
    <mergeCell ref="J137:J138"/>
    <mergeCell ref="J135:J136"/>
    <mergeCell ref="J133:J134"/>
    <mergeCell ref="J127:J128"/>
    <mergeCell ref="J129:J130"/>
    <mergeCell ref="J61:J62"/>
    <mergeCell ref="K111:T112"/>
    <mergeCell ref="K113:T114"/>
    <mergeCell ref="J119:J120"/>
    <mergeCell ref="K117:T118"/>
    <mergeCell ref="K107:T108"/>
    <mergeCell ref="K105:T106"/>
    <mergeCell ref="K109:T110"/>
    <mergeCell ref="K115:T116"/>
    <mergeCell ref="K119:T120"/>
    <mergeCell ref="J9:J10"/>
    <mergeCell ref="J3:J4"/>
    <mergeCell ref="K9:T10"/>
    <mergeCell ref="K7:T8"/>
    <mergeCell ref="K5:T6"/>
    <mergeCell ref="J5:J6"/>
    <mergeCell ref="J7:J8"/>
    <mergeCell ref="K19:T20"/>
    <mergeCell ref="J19:J20"/>
    <mergeCell ref="J23:J24"/>
    <mergeCell ref="K29:T30"/>
    <mergeCell ref="K27:T28"/>
    <mergeCell ref="J31:J32"/>
    <mergeCell ref="J29:J30"/>
    <mergeCell ref="J27:J28"/>
    <mergeCell ref="J25:J26"/>
    <mergeCell ref="J33:J34"/>
    <mergeCell ref="K45:T46"/>
    <mergeCell ref="K43:T44"/>
    <mergeCell ref="K37:T38"/>
    <mergeCell ref="K39:T40"/>
    <mergeCell ref="J37:J38"/>
    <mergeCell ref="J39:J40"/>
    <mergeCell ref="J35:J36"/>
    <mergeCell ref="J79:J80"/>
    <mergeCell ref="J71:J72"/>
    <mergeCell ref="K103:T104"/>
    <mergeCell ref="K95:T96"/>
    <mergeCell ref="K99:T100"/>
    <mergeCell ref="K101:T102"/>
    <mergeCell ref="K97:T98"/>
    <mergeCell ref="K93:T94"/>
    <mergeCell ref="K91:T92"/>
    <mergeCell ref="J357:J358"/>
    <mergeCell ref="K357:T358"/>
    <mergeCell ref="K359:T360"/>
    <mergeCell ref="K349:T350"/>
    <mergeCell ref="K343:T344"/>
    <mergeCell ref="K345:T346"/>
    <mergeCell ref="K341:T342"/>
    <mergeCell ref="K347:T348"/>
    <mergeCell ref="K355:T356"/>
  </mergeCells>
  <drawing r:id="rId2"/>
  <legacyDrawing r:id="rId3"/>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showGridLines="0" workbookViewId="0"/>
  </sheetViews>
  <sheetFormatPr customHeight="1" defaultColWidth="14.43" defaultRowHeight="15.75"/>
  <sheetData>
    <row r="1">
      <c r="A1" s="64"/>
      <c r="B1" s="64"/>
      <c r="C1" s="64"/>
      <c r="D1" s="64"/>
      <c r="E1" s="64"/>
      <c r="F1" s="64"/>
      <c r="G1" s="64"/>
      <c r="H1" s="64"/>
      <c r="I1" s="64"/>
      <c r="J1" s="64"/>
      <c r="K1" s="64"/>
      <c r="L1" s="64"/>
      <c r="M1" s="64"/>
      <c r="N1" s="64"/>
      <c r="O1" s="64"/>
      <c r="P1" s="64"/>
      <c r="Q1" s="64"/>
      <c r="R1" s="64"/>
    </row>
    <row r="2">
      <c r="A2" s="64"/>
      <c r="B2" s="64"/>
      <c r="C2" s="64"/>
      <c r="D2" s="64"/>
      <c r="E2" s="64"/>
      <c r="F2" s="64"/>
      <c r="G2" s="64"/>
      <c r="H2" s="64"/>
      <c r="I2" s="64"/>
      <c r="J2" s="64"/>
      <c r="K2" s="64"/>
      <c r="L2" s="64"/>
      <c r="M2" s="64"/>
      <c r="N2" s="64"/>
      <c r="O2" s="64"/>
      <c r="P2" s="64"/>
      <c r="Q2" s="64"/>
      <c r="R2" s="64"/>
    </row>
    <row r="3">
      <c r="A3" s="64"/>
      <c r="B3" s="64"/>
      <c r="C3" s="64"/>
      <c r="D3" s="64"/>
      <c r="E3" s="64"/>
      <c r="F3" s="64"/>
      <c r="G3" s="64"/>
      <c r="H3" s="64"/>
      <c r="I3" s="64"/>
      <c r="J3" s="64"/>
      <c r="K3" s="64"/>
      <c r="L3" s="64"/>
      <c r="M3" s="64"/>
      <c r="N3" s="64"/>
      <c r="O3" s="64"/>
      <c r="P3" s="64"/>
      <c r="Q3" s="64"/>
      <c r="R3" s="64"/>
    </row>
    <row r="4">
      <c r="A4" s="68" t="str">
        <f>CONCATENATE("STR"," ",'Character Sheet'!C13," ","(",'Character Sheet'!C10,")")</f>
        <v>STR 3 (2d6)</v>
      </c>
      <c r="B4" s="68" t="str">
        <f>CONCATENATE("AGI"," ",'Character Sheet'!D13," ","(",'Character Sheet'!D10,")")</f>
        <v>AGI 3 (2d6)</v>
      </c>
      <c r="C4" s="68" t="str">
        <f>CONCATENATE("END"," ",'Character Sheet'!E13," ","(",'Character Sheet'!E10,")")</f>
        <v>END 3 (2d6)</v>
      </c>
      <c r="D4" s="68" t="str">
        <f>CONCATENATE("MAG"," ",'Character Sheet'!H13," ","(",'Character Sheet'!H10,")")</f>
        <v>MAG 0 (0d6)</v>
      </c>
      <c r="E4" s="64"/>
      <c r="F4" s="64"/>
      <c r="G4" s="64"/>
      <c r="H4" s="64"/>
      <c r="I4" s="64"/>
      <c r="J4" s="64"/>
      <c r="K4" s="64"/>
      <c r="L4" s="64"/>
      <c r="M4" s="64"/>
      <c r="N4" s="64"/>
      <c r="O4" s="64"/>
      <c r="P4" s="64"/>
      <c r="Q4" s="64"/>
      <c r="R4" s="64"/>
    </row>
    <row r="5">
      <c r="A5" s="74" t="str">
        <f>CONCATENATE("WIL"," ",'Character Sheet'!F13," ","(",'Character Sheet'!F10,")")</f>
        <v>WIL 3 (2d6)</v>
      </c>
      <c r="B5" s="74" t="str">
        <f>CONCATENATE("INT"," ",'Character Sheet'!G13," ","(",'Character Sheet'!G10,")")</f>
        <v>INT 3 (2d6)</v>
      </c>
      <c r="C5" s="74" t="str">
        <f>CONCATENATE("LOG"," ",'Character Sheet'!C20," ","(",'Character Sheet'!C17,")")</f>
        <v>LOG 3 (2d6)</v>
      </c>
      <c r="D5" s="74" t="str">
        <f>CONCATENATE("CHA"," ",'Character Sheet'!D20," ","(",'Character Sheet'!D17,")")</f>
        <v>CHA 3 (2d6)</v>
      </c>
      <c r="E5" s="64" t="str">
        <f>IF('Character Sheet'!I302="Nothing",";",CONCATENATE(" (",'Character Sheet'!I302,")"))</f>
        <v>;</v>
      </c>
      <c r="F5" s="64" t="str">
        <f>IF('Character Sheet'!H2="None","-",'Character Sheet'!H2)</f>
        <v>-</v>
      </c>
      <c r="G5" s="64" t="str">
        <f>CONCATENATE("REACH"," ",IF(E28="ACTIONS 0",5,IF(E28="ACTIONS 2",5,IF(E28="ACTIONS 3",10,IF(E28="ACTIONS 4",15,IF(E28="ACTIONS 5",20,IF(E28="ACTIONS 6",30,0)))))))</f>
        <v>REACH 5</v>
      </c>
      <c r="H5" s="64" t="str">
        <f>IF('Character Sheet'!C20&lt;3,"semi-sentient",IF('Character Sheet'!C20&lt;20,"sentient","super-sentient"))</f>
        <v>sentient</v>
      </c>
      <c r="I5" s="64"/>
      <c r="J5" s="64"/>
      <c r="K5" s="64"/>
      <c r="L5" s="64"/>
      <c r="M5" s="64"/>
      <c r="N5" s="64"/>
      <c r="O5" s="64"/>
      <c r="P5" s="64"/>
      <c r="Q5" s="64"/>
      <c r="R5" s="64"/>
    </row>
    <row r="6">
      <c r="A6" s="74" t="str">
        <f>CONCATENATE("LUC"," ",'Character Sheet'!E20," ","(",'Character Sheet'!E17,")")</f>
        <v>LUC 3 (2d6)</v>
      </c>
      <c r="B6" s="74" t="str">
        <f>CONCATENATE("REP"," ",'Character Sheet'!F20," ","(",'Character Sheet'!F17,")")</f>
        <v>REP 0 (0d6)</v>
      </c>
      <c r="C6" s="74" t="str">
        <f>CONCATENATE("PSI"," ",'Character Sheet'!G20," ","(",'Character Sheet'!G17,")")</f>
        <v>PSI 0 (0d6)</v>
      </c>
      <c r="D6" s="74" t="str">
        <f>IF('Character Sheet'!P74="-",";","")</f>
        <v/>
      </c>
      <c r="E6" s="64" t="str">
        <f>IF(ISBLANK('Character Sheet'!P74),"-",CONCATENATE('Character Sheet'!P74,", ",'Character Sheet'!R74,", ",'Character Sheet'!S74,", ",'Character Sheet'!U74))</f>
        <v>-</v>
      </c>
      <c r="F6" s="64"/>
      <c r="G6" s="64"/>
      <c r="H6" s="64"/>
      <c r="I6" s="64"/>
      <c r="J6" s="64"/>
      <c r="K6" s="64"/>
      <c r="L6" s="64"/>
      <c r="M6" s="64"/>
      <c r="N6" s="64"/>
      <c r="O6" s="64"/>
      <c r="P6" s="64"/>
      <c r="Q6" s="64"/>
      <c r="R6" s="64"/>
    </row>
    <row r="7">
      <c r="A7" s="64"/>
      <c r="B7" s="64"/>
      <c r="C7" s="64"/>
      <c r="D7" s="64"/>
      <c r="E7" s="64"/>
      <c r="F7" s="64"/>
      <c r="G7" s="64"/>
      <c r="H7" s="64"/>
      <c r="I7" s="64"/>
      <c r="J7" s="64"/>
      <c r="K7" s="64"/>
      <c r="L7" s="64"/>
      <c r="M7" s="64"/>
      <c r="N7" s="64"/>
      <c r="O7" s="64"/>
      <c r="P7" s="64"/>
      <c r="Q7" s="64"/>
      <c r="R7" s="64"/>
    </row>
    <row r="8">
      <c r="A8" s="64"/>
      <c r="B8" s="64"/>
      <c r="C8" s="64"/>
      <c r="D8" s="64"/>
      <c r="E8" s="64"/>
      <c r="F8" s="64"/>
      <c r="G8" s="64"/>
      <c r="H8" s="64"/>
      <c r="I8" s="64"/>
      <c r="J8" s="64"/>
      <c r="K8" s="64"/>
      <c r="L8" s="64"/>
      <c r="M8" s="64"/>
      <c r="N8" s="64"/>
      <c r="O8" s="64"/>
      <c r="P8" s="64"/>
      <c r="Q8" s="64"/>
      <c r="R8" s="64"/>
    </row>
    <row r="9">
      <c r="A9" s="64"/>
      <c r="B9" s="64"/>
      <c r="C9" s="91"/>
      <c r="D9" s="91"/>
      <c r="E9" s="92" t="str">
        <f>'Character Sheet'!D3</f>
        <v/>
      </c>
      <c r="H9" s="94"/>
      <c r="I9" s="98"/>
      <c r="J9" s="98"/>
      <c r="K9" s="98"/>
      <c r="L9" s="64"/>
      <c r="M9" s="64"/>
      <c r="N9" s="64"/>
      <c r="O9" s="64"/>
      <c r="P9" s="64"/>
      <c r="Q9" s="64"/>
      <c r="R9" s="64"/>
    </row>
    <row r="10">
      <c r="A10" s="64"/>
      <c r="B10" s="64"/>
      <c r="C10" s="91"/>
      <c r="D10" s="91"/>
      <c r="H10" s="94"/>
      <c r="I10" s="98" t="str">
        <f>IFERROR(__xludf.DUMMYFUNCTION("IF(ISNA(FILTER(I30:I52,I30:I52&lt;&gt;"""")),"""",FILTER(I30:I52,I30:I52&lt;&gt;""""))"),"")</f>
        <v/>
      </c>
      <c r="J10" s="98" t="str">
        <f>IFERROR(__xludf.DUMMYFUNCTION("IF(ISNA(FILTER(K30:K52,K30:K52&lt;&gt;"""")),"""",FILTER(K30:K52,K30:K52&lt;&gt;""""))"),"")</f>
        <v/>
      </c>
      <c r="K10" s="98"/>
      <c r="L10" s="64"/>
      <c r="M10" s="64"/>
      <c r="N10" s="64"/>
      <c r="O10" s="64"/>
      <c r="P10" s="64"/>
      <c r="Q10" s="64"/>
      <c r="R10" s="64"/>
    </row>
    <row r="11">
      <c r="A11" s="64"/>
      <c r="B11" s="64"/>
      <c r="C11" s="91"/>
      <c r="D11" s="91"/>
      <c r="E11" s="101" t="str">
        <f>CONCATENATE('Character Sheet'!J3," ",H5," ",'Character Sheet'!D2," ","(",'Character Sheet'!C6,"d6",")")</f>
        <v>Select Size sentient Voidanoid (5d6)</v>
      </c>
      <c r="H11" s="102"/>
      <c r="I11" s="98"/>
      <c r="J11" s="98"/>
      <c r="K11" s="98"/>
      <c r="L11" s="64"/>
      <c r="M11" s="64"/>
      <c r="N11" s="64"/>
      <c r="O11" s="64"/>
      <c r="P11" s="64"/>
      <c r="Q11" s="64"/>
      <c r="R11" s="64"/>
    </row>
    <row r="12">
      <c r="A12" s="64" t="str">
        <f>IFERROR(__xludf.DUMMYFUNCTION("UNIQUE('Character Sheet'!L35:L59)"),"")</f>
        <v/>
      </c>
      <c r="B12" s="91" t="str">
        <f t="shared" ref="B12:B31" si="1">IF(A12="Nothing","",IF(A12="Name","",IF(ISTEXT(A12),CONCATENATE(A12,", "),"")))</f>
        <v/>
      </c>
      <c r="C12" s="64" t="str">
        <f>IFERROR(__xludf.DUMMYFUNCTION("FILTER(B12:B31,B12:B31&lt;&gt;"""")"),"#N/A")</f>
        <v>#N/A</v>
      </c>
      <c r="D12" s="91"/>
      <c r="E12" s="108" t="str">
        <f>CONCATENATE("A"," ",'Character Sheet'!M3," ",'Character Sheet'!P3," ",'Character Sheet'!R3," ",'Character Sheet'!S3," ",'Character Sheet'!T3)</f>
        <v>A (trait) Select Race Career who (hook)</v>
      </c>
      <c r="H12" s="110"/>
      <c r="I12" s="98"/>
      <c r="J12" s="98"/>
      <c r="K12" s="98"/>
      <c r="L12" s="64"/>
      <c r="M12" s="64"/>
      <c r="N12" s="64"/>
      <c r="O12" s="64"/>
      <c r="P12" s="64"/>
      <c r="Q12" s="64"/>
      <c r="R12" s="64"/>
    </row>
    <row r="13">
      <c r="A13" s="64"/>
      <c r="B13" s="91" t="str">
        <f t="shared" si="1"/>
        <v/>
      </c>
      <c r="C13" s="64"/>
      <c r="D13" s="91"/>
      <c r="H13" s="102"/>
      <c r="I13" s="98"/>
      <c r="J13" s="98"/>
      <c r="K13" s="98"/>
      <c r="L13" s="64"/>
      <c r="M13" s="64"/>
      <c r="N13" s="64"/>
      <c r="O13" s="64"/>
      <c r="P13" s="64"/>
      <c r="Q13" s="64"/>
      <c r="R13" s="64"/>
    </row>
    <row r="14">
      <c r="A14" s="64"/>
      <c r="B14" s="91" t="str">
        <f t="shared" si="1"/>
        <v/>
      </c>
      <c r="C14" s="64"/>
      <c r="D14" s="91"/>
      <c r="E14" s="111" t="str">
        <f>CONCATENATE(A4," ",B4," ",C4)</f>
        <v>STR 3 (2d6) AGI 3 (2d6) END 3 (2d6)</v>
      </c>
      <c r="H14" s="102"/>
      <c r="I14" s="98"/>
      <c r="J14" s="98"/>
      <c r="K14" s="98"/>
      <c r="L14" s="64"/>
      <c r="M14" s="64"/>
      <c r="N14" s="64"/>
      <c r="O14" s="64"/>
      <c r="P14" s="64"/>
      <c r="Q14" s="64"/>
      <c r="R14" s="64"/>
    </row>
    <row r="15">
      <c r="A15" s="64"/>
      <c r="B15" s="91" t="str">
        <f t="shared" si="1"/>
        <v/>
      </c>
      <c r="C15" s="64"/>
      <c r="D15" s="91"/>
      <c r="E15" s="111" t="str">
        <f>CONCATENATE(B5," ",C5," ",A5," ",D5)</f>
        <v>INT 3 (2d6) LOG 3 (2d6) WIL 3 (2d6) CHA 3 (2d6)</v>
      </c>
      <c r="H15" s="102"/>
      <c r="I15" s="98"/>
      <c r="J15" s="98"/>
      <c r="K15" s="98"/>
      <c r="L15" s="64"/>
      <c r="M15" s="64"/>
      <c r="N15" s="64"/>
      <c r="O15" s="64"/>
      <c r="P15" s="64"/>
      <c r="Q15" s="64"/>
      <c r="R15" s="64"/>
    </row>
    <row r="16">
      <c r="A16" s="64"/>
      <c r="B16" s="91" t="str">
        <f t="shared" si="1"/>
        <v/>
      </c>
      <c r="C16" s="64"/>
      <c r="D16" s="91"/>
      <c r="E16" s="113" t="str">
        <f>CONCATENATE(A6," ",B6," ",C6," ",D4)</f>
        <v>LUC 3 (2d6) REP 0 (0d6) PSI 0 (0d6) MAG 0 (0d6)</v>
      </c>
      <c r="H16" s="102"/>
      <c r="I16" s="98"/>
      <c r="J16" s="98"/>
      <c r="K16" s="98"/>
      <c r="L16" s="64"/>
      <c r="M16" s="64"/>
      <c r="N16" s="64"/>
      <c r="O16" s="64"/>
      <c r="P16" s="64"/>
      <c r="Q16" s="64"/>
      <c r="R16" s="64"/>
    </row>
    <row r="17">
      <c r="A17" s="64"/>
      <c r="B17" s="91" t="str">
        <f t="shared" si="1"/>
        <v/>
      </c>
      <c r="C17" s="64"/>
      <c r="D17" s="91"/>
      <c r="E17" s="115" t="str">
        <f>CONCATENATE("HEALTH"," ",'Character Sheet'!C28)</f>
        <v>HEALTH 16</v>
      </c>
      <c r="F17" s="113"/>
      <c r="G17" s="113"/>
      <c r="H17" s="102"/>
      <c r="I17" s="98"/>
      <c r="J17" s="98"/>
      <c r="K17" s="98"/>
      <c r="L17" s="64"/>
      <c r="M17" s="64"/>
      <c r="N17" s="64"/>
      <c r="O17" s="64"/>
      <c r="P17" s="64"/>
      <c r="Q17" s="64"/>
      <c r="R17" s="64"/>
    </row>
    <row r="18">
      <c r="A18" s="64"/>
      <c r="B18" s="91" t="str">
        <f t="shared" si="1"/>
        <v/>
      </c>
      <c r="C18" s="64"/>
      <c r="D18" s="91"/>
      <c r="F18" s="113"/>
      <c r="G18" s="113"/>
      <c r="H18" s="102"/>
      <c r="I18" s="98"/>
      <c r="J18" s="98"/>
      <c r="K18" s="98"/>
      <c r="L18" s="64"/>
      <c r="M18" s="64"/>
      <c r="N18" s="64"/>
      <c r="O18" s="64"/>
      <c r="P18" s="64"/>
      <c r="Q18" s="64"/>
      <c r="R18" s="64"/>
    </row>
    <row r="19">
      <c r="A19" s="64"/>
      <c r="B19" s="91" t="str">
        <f t="shared" si="1"/>
        <v/>
      </c>
      <c r="C19" s="64"/>
      <c r="D19" s="91"/>
      <c r="E19" s="113" t="str">
        <f>CONCATENATE("MELEE DEFENSE"," ",'Character Sheet'!C25,";"," ","RANGED DEFENSE"," ",'Character Sheet'!D25,";")</f>
        <v>MELEE DEFENSE 10; RANGED DEFENSE 10;</v>
      </c>
      <c r="H19" s="102"/>
      <c r="I19" s="98"/>
      <c r="J19" s="98"/>
      <c r="K19" s="98"/>
      <c r="L19" s="64"/>
      <c r="M19" s="64"/>
      <c r="N19" s="64"/>
      <c r="O19" s="64"/>
      <c r="P19" s="64"/>
      <c r="Q19" s="64"/>
      <c r="R19" s="64"/>
    </row>
    <row r="20">
      <c r="A20" s="64"/>
      <c r="B20" s="91" t="str">
        <f t="shared" si="1"/>
        <v/>
      </c>
      <c r="C20" s="64"/>
      <c r="D20" s="91"/>
      <c r="E20" s="118" t="str">
        <f>CONCATENATE("MENTAL DEFENSE"," ",'Character Sheet'!E25)</f>
        <v>MENTAL DEFENSE 10</v>
      </c>
      <c r="G20" s="118"/>
      <c r="H20" s="102"/>
      <c r="I20" s="98"/>
      <c r="J20" s="98"/>
      <c r="K20" s="98"/>
      <c r="L20" s="64"/>
      <c r="M20" s="64"/>
      <c r="N20" s="64"/>
      <c r="O20" s="64"/>
      <c r="P20" s="64"/>
      <c r="Q20" s="64"/>
      <c r="R20" s="64"/>
    </row>
    <row r="21">
      <c r="A21" s="64"/>
      <c r="B21" s="91" t="str">
        <f t="shared" si="1"/>
        <v/>
      </c>
      <c r="C21" s="64"/>
      <c r="D21" s="91"/>
      <c r="E21" s="119" t="str">
        <f>CONCATENATE("SOAK"," ",'Character Sheet'!G25,E5," ","VULN"," ",F5,"; ","immune ",E6)</f>
        <v>SOAK 0; VULN -; immune -</v>
      </c>
      <c r="H21" s="102"/>
      <c r="I21" s="98"/>
      <c r="J21" s="98"/>
      <c r="K21" s="98"/>
      <c r="L21" s="64"/>
      <c r="M21" s="64"/>
      <c r="N21" s="64"/>
      <c r="O21" s="64"/>
      <c r="P21" s="64"/>
      <c r="Q21" s="64"/>
      <c r="R21" s="64"/>
    </row>
    <row r="22">
      <c r="A22" s="64"/>
      <c r="B22" s="91" t="str">
        <f t="shared" si="1"/>
        <v/>
      </c>
      <c r="C22" s="64"/>
      <c r="D22" s="91"/>
      <c r="H22" s="102"/>
      <c r="I22" s="98"/>
      <c r="J22" s="98"/>
      <c r="K22" s="98"/>
      <c r="L22" s="64"/>
      <c r="M22" s="64"/>
      <c r="N22" s="64"/>
      <c r="O22" s="64"/>
      <c r="P22" s="64"/>
      <c r="Q22" s="64"/>
      <c r="R22" s="64"/>
    </row>
    <row r="23">
      <c r="A23" s="64"/>
      <c r="B23" s="91" t="str">
        <f t="shared" si="1"/>
        <v/>
      </c>
      <c r="C23" s="64"/>
      <c r="D23" s="91"/>
      <c r="E23" s="115" t="str">
        <f>CONCATENATE("STATUS IMMUNITIES"," ",'Character Sheet'!P76," ",'Character Sheet'!R76," ",'Character Sheet'!S76," ",'Character Sheet'!U76)</f>
        <v>STATUS IMMUNITIES    </v>
      </c>
      <c r="G23" s="113"/>
      <c r="H23" s="102"/>
      <c r="I23" s="98"/>
      <c r="J23" s="98"/>
      <c r="K23" s="98"/>
      <c r="L23" s="64"/>
      <c r="M23" s="64"/>
      <c r="N23" s="64"/>
      <c r="O23" s="64"/>
      <c r="P23" s="64"/>
      <c r="Q23" s="64"/>
      <c r="R23" s="64"/>
    </row>
    <row r="24">
      <c r="A24" s="64"/>
      <c r="B24" s="91" t="str">
        <f t="shared" si="1"/>
        <v/>
      </c>
      <c r="C24" s="64"/>
      <c r="D24" s="91"/>
      <c r="E24" s="115" t="s">
        <v>92</v>
      </c>
      <c r="F24" s="113" t="str">
        <f>'Character Sheet'!D33</f>
        <v>2d6</v>
      </c>
      <c r="G24" s="113"/>
      <c r="H24" s="102"/>
      <c r="I24" s="98"/>
      <c r="J24" s="98"/>
      <c r="K24" s="98"/>
      <c r="L24" s="64"/>
      <c r="M24" s="64"/>
      <c r="N24" s="64"/>
      <c r="O24" s="64"/>
      <c r="P24" s="64"/>
      <c r="Q24" s="64"/>
      <c r="R24" s="64"/>
    </row>
    <row r="25">
      <c r="A25" s="64"/>
      <c r="B25" s="91" t="str">
        <f t="shared" si="1"/>
        <v/>
      </c>
      <c r="C25" s="64"/>
      <c r="D25" s="91"/>
      <c r="E25" s="115" t="s">
        <v>93</v>
      </c>
      <c r="F25" s="113" t="str">
        <f>'Character Sheet'!G33</f>
        <v>-</v>
      </c>
      <c r="G25" s="113"/>
      <c r="H25" s="102"/>
      <c r="I25" s="98"/>
      <c r="J25" s="98"/>
      <c r="K25" s="98"/>
      <c r="L25" s="64"/>
      <c r="M25" s="64"/>
      <c r="N25" s="64"/>
      <c r="O25" s="64"/>
      <c r="P25" s="64"/>
      <c r="Q25" s="64"/>
      <c r="R25" s="64"/>
    </row>
    <row r="26">
      <c r="A26" s="64"/>
      <c r="B26" s="91" t="str">
        <f t="shared" si="1"/>
        <v/>
      </c>
      <c r="C26" s="64"/>
      <c r="D26" s="91"/>
      <c r="E26" s="115" t="str">
        <f>CONCATENATE("SPEED"," ",'Character Sheet'!E28)</f>
        <v>SPEED 4</v>
      </c>
      <c r="F26" s="113" t="str">
        <f>CONCATENATE("CLIMB"," ",'Character Sheet'!F28)</f>
        <v>CLIMB 2</v>
      </c>
      <c r="G26" s="113" t="str">
        <f>CONCATENATE("JUMP"," ",'Character Sheet'!C31)</f>
        <v>JUMP 6'/3'</v>
      </c>
      <c r="H26" s="102"/>
      <c r="I26" s="98"/>
      <c r="J26" s="98"/>
      <c r="K26" s="98"/>
      <c r="L26" s="64"/>
      <c r="M26" s="64"/>
      <c r="N26" s="64"/>
      <c r="O26" s="64"/>
      <c r="P26" s="64"/>
      <c r="Q26" s="64"/>
      <c r="R26" s="64"/>
    </row>
    <row r="27">
      <c r="A27" s="64"/>
      <c r="B27" s="91" t="str">
        <f t="shared" si="1"/>
        <v/>
      </c>
      <c r="C27" s="64"/>
      <c r="D27" s="91"/>
      <c r="E27" s="113" t="str">
        <f>CONCATENATE("CARRY ",'Character Sheet'!AI96,"lb"," (max lift ",'Character Sheet'!AG98,"lb)")</f>
        <v>CARRY 60lb (max lift 150lb)</v>
      </c>
      <c r="G27" s="113"/>
      <c r="H27" s="102"/>
      <c r="I27" s="98"/>
      <c r="J27" s="98"/>
      <c r="K27" s="98"/>
      <c r="L27" s="64"/>
      <c r="M27" s="64"/>
      <c r="N27" s="64"/>
      <c r="O27" s="64"/>
      <c r="P27" s="64"/>
      <c r="Q27" s="64"/>
      <c r="R27" s="64"/>
    </row>
    <row r="28">
      <c r="A28" s="64"/>
      <c r="B28" s="91" t="str">
        <f t="shared" si="1"/>
        <v/>
      </c>
      <c r="C28" s="64"/>
      <c r="D28" s="91"/>
      <c r="E28" s="113" t="str">
        <f>CONCATENATE("ACTIONS"," ",IF(OR('Character Sheet'!J3="Tiny",'Character Sheet'!J3="Small",'Character Sheet'!J3="Medium",'Character Sheet'!J3="Large"),2,IF('Character Sheet'!J3="Enormous",3,IF('Character Sheet'!J3="Gigantic",4,IF('Character Sheet'!J3="Colossal",5,IF('Character Sheet'!J3="Titanic",6,0))))))</f>
        <v>ACTIONS 0</v>
      </c>
      <c r="F28" s="113"/>
      <c r="G28" s="113"/>
      <c r="H28" s="102"/>
      <c r="I28" s="98"/>
      <c r="J28" s="98"/>
      <c r="K28" s="98"/>
      <c r="L28" s="64"/>
      <c r="M28" s="64"/>
      <c r="N28" s="64"/>
      <c r="O28" s="64"/>
      <c r="P28" s="64"/>
      <c r="Q28" s="64"/>
      <c r="R28" s="64"/>
    </row>
    <row r="29">
      <c r="A29" s="64"/>
      <c r="B29" s="91" t="str">
        <f t="shared" si="1"/>
        <v/>
      </c>
      <c r="C29" s="64"/>
      <c r="D29" s="91"/>
      <c r="E29" s="113" t="str">
        <f>CONCATENATE("NATURAL DAMAGE"," ",'Character Sheet'!E329)</f>
        <v>NATURAL DAMAGE 0d6+2</v>
      </c>
      <c r="G29" s="113"/>
      <c r="H29" s="102"/>
      <c r="I29" s="98"/>
      <c r="J29" s="98"/>
      <c r="K29" s="98"/>
      <c r="L29" s="64"/>
      <c r="M29" s="64"/>
      <c r="N29" s="64"/>
      <c r="O29" s="64"/>
      <c r="P29" s="64"/>
      <c r="Q29" s="64"/>
      <c r="R29" s="64"/>
    </row>
    <row r="30">
      <c r="A30" s="64"/>
      <c r="B30" s="91" t="str">
        <f t="shared" si="1"/>
        <v/>
      </c>
      <c r="C30" s="64"/>
      <c r="D30" s="91"/>
      <c r="E30" s="113" t="str">
        <f>CONCATENATE(G5,"'")</f>
        <v>REACH 5'</v>
      </c>
      <c r="F30" s="113"/>
      <c r="G30" s="113"/>
      <c r="H30" s="102"/>
      <c r="I30" s="98" t="str">
        <f>IFERROR(__xludf.DUMMYFUNCTION("UNIQUE('Character Sheet'!I7:L25)"),"#REF!")</f>
        <v>#REF!</v>
      </c>
      <c r="J30" s="98"/>
      <c r="K30" s="98" t="str">
        <f>IFERROR(__xludf.DUMMYFUNCTION("UNIQUE('Character Sheet'!M7:U25)"),"")</f>
        <v/>
      </c>
      <c r="L30" s="64"/>
      <c r="M30" s="64"/>
      <c r="N30" s="64"/>
      <c r="O30" s="64"/>
      <c r="P30" s="64"/>
      <c r="Q30" s="64"/>
      <c r="R30" s="64"/>
    </row>
    <row r="31">
      <c r="A31" s="64"/>
      <c r="B31" s="91" t="str">
        <f t="shared" si="1"/>
        <v/>
      </c>
      <c r="C31" s="64"/>
      <c r="D31" s="91"/>
      <c r="E31" s="128"/>
      <c r="F31" s="128"/>
      <c r="G31" s="128"/>
      <c r="H31" s="102"/>
      <c r="I31" s="98"/>
      <c r="J31" s="98"/>
      <c r="K31" s="98"/>
      <c r="L31" s="64"/>
      <c r="M31" s="64"/>
      <c r="N31" s="64"/>
      <c r="O31" s="64"/>
      <c r="P31" s="64"/>
      <c r="Q31" s="64"/>
      <c r="R31" s="64"/>
    </row>
    <row r="32">
      <c r="A32" s="64"/>
      <c r="B32" s="64"/>
      <c r="C32" s="91"/>
      <c r="D32" s="91"/>
      <c r="E32" s="130" t="str">
        <f>"   "&amp;'Character Sheet'!C36</f>
        <v>   </v>
      </c>
      <c r="H32" s="131"/>
      <c r="I32" s="98"/>
      <c r="J32" s="98"/>
      <c r="K32" s="98"/>
      <c r="L32" s="64"/>
      <c r="M32" s="64"/>
      <c r="N32" s="64"/>
      <c r="O32" s="64"/>
      <c r="P32" s="64"/>
      <c r="Q32" s="64"/>
      <c r="R32" s="64"/>
    </row>
    <row r="33">
      <c r="A33" s="64"/>
      <c r="B33" s="64" t="str">
        <f>CONCATENATE('Character Sheet'!X27," ",'Character Sheet'!Y27," ")</f>
        <v>Select Skill 1 </v>
      </c>
      <c r="C33" s="91" t="str">
        <f>CONCATENATE("(",'Character Sheet'!Z27,"), ")</f>
        <v>(1d6), </v>
      </c>
      <c r="D33" s="91"/>
      <c r="E33" s="36"/>
      <c r="F33" s="36"/>
      <c r="G33" s="36"/>
      <c r="H33" s="134"/>
      <c r="I33" s="102"/>
      <c r="J33" s="102"/>
      <c r="K33" s="102"/>
      <c r="L33" s="64"/>
      <c r="M33" s="64"/>
      <c r="N33" s="64"/>
      <c r="O33" s="64"/>
      <c r="P33" s="64"/>
      <c r="Q33" s="64"/>
      <c r="R33" s="64"/>
    </row>
    <row r="34">
      <c r="A34" s="64"/>
      <c r="B34" s="64" t="str">
        <f>CONCATENATE('Character Sheet'!X28," ",'Character Sheet'!Y28," ")</f>
        <v> 0 </v>
      </c>
      <c r="C34" s="91" t="str">
        <f>CONCATENATE("(",'Character Sheet'!Z28,"), ")</f>
        <v>(0d6), </v>
      </c>
      <c r="D34" s="91"/>
      <c r="E34" s="136" t="str">
        <f>"   "&amp;'Character Sheet'!C37</f>
        <v>   </v>
      </c>
      <c r="F34" s="87"/>
      <c r="G34" s="87"/>
      <c r="H34" s="134"/>
      <c r="I34" s="102"/>
      <c r="J34" s="102"/>
      <c r="K34" s="102"/>
      <c r="L34" s="64"/>
      <c r="M34" s="64"/>
      <c r="N34" s="64"/>
      <c r="O34" s="64"/>
      <c r="P34" s="64"/>
      <c r="Q34" s="64"/>
      <c r="R34" s="64"/>
    </row>
    <row r="35">
      <c r="A35" s="64"/>
      <c r="B35" s="64" t="str">
        <f>CONCATENATE('Character Sheet'!X29," ",'Character Sheet'!Y29," ")</f>
        <v> 0 </v>
      </c>
      <c r="C35" s="91" t="str">
        <f>CONCATENATE("(",'Character Sheet'!Z29,"), ")</f>
        <v>(0d6), </v>
      </c>
      <c r="D35" s="91"/>
      <c r="E35" s="36"/>
      <c r="F35" s="36"/>
      <c r="G35" s="36"/>
      <c r="H35" s="134"/>
      <c r="I35" s="98"/>
      <c r="J35" s="98"/>
      <c r="K35" s="98"/>
      <c r="L35" s="64"/>
      <c r="M35" s="64"/>
      <c r="N35" s="64"/>
      <c r="O35" s="64"/>
      <c r="P35" s="64"/>
      <c r="Q35" s="64"/>
      <c r="R35" s="64"/>
    </row>
    <row r="36">
      <c r="A36" s="64"/>
      <c r="B36" s="64" t="str">
        <f>CONCATENATE('Character Sheet'!X30," ",'Character Sheet'!Y30," ")</f>
        <v> 0 </v>
      </c>
      <c r="C36" s="91" t="str">
        <f>CONCATENATE("(",'Character Sheet'!Z30,"), ")</f>
        <v>(0d6), </v>
      </c>
      <c r="D36" s="64"/>
      <c r="E36" s="136" t="str">
        <f>"   "&amp;'Character Sheet'!C38</f>
        <v>   </v>
      </c>
      <c r="F36" s="87"/>
      <c r="G36" s="87"/>
      <c r="H36" s="134"/>
      <c r="I36" s="98"/>
      <c r="J36" s="98"/>
      <c r="K36" s="98"/>
      <c r="L36" s="64"/>
      <c r="M36" s="64"/>
      <c r="N36" s="64"/>
      <c r="O36" s="64"/>
      <c r="P36" s="64"/>
      <c r="Q36" s="64"/>
      <c r="R36" s="64"/>
    </row>
    <row r="37">
      <c r="A37" s="64"/>
      <c r="B37" s="64" t="str">
        <f>CONCATENATE('Character Sheet'!X31," ",'Character Sheet'!Y31," ")</f>
        <v> 0 </v>
      </c>
      <c r="C37" s="91" t="str">
        <f>CONCATENATE("(",'Character Sheet'!Z31,"), ")</f>
        <v>(0d6), </v>
      </c>
      <c r="D37" s="64"/>
      <c r="E37" s="36"/>
      <c r="F37" s="36"/>
      <c r="G37" s="36"/>
      <c r="H37" s="134"/>
      <c r="I37" s="98"/>
      <c r="J37" s="98"/>
      <c r="K37" s="98"/>
      <c r="L37" s="64"/>
      <c r="M37" s="64"/>
      <c r="N37" s="64"/>
      <c r="O37" s="64"/>
      <c r="P37" s="64"/>
      <c r="Q37" s="64"/>
      <c r="R37" s="64"/>
    </row>
    <row r="38">
      <c r="A38" s="64"/>
      <c r="B38" s="64" t="str">
        <f>CONCATENATE('Character Sheet'!X32," ",'Character Sheet'!Y32," ")</f>
        <v> 0 </v>
      </c>
      <c r="C38" s="91" t="str">
        <f>CONCATENATE("(",'Character Sheet'!Z32,"), ")</f>
        <v>(0d6), </v>
      </c>
      <c r="D38" s="64"/>
      <c r="E38" s="136" t="str">
        <f>IF(B33="Select Skill 1 ","",CONCATENATE("   Skills - ",B58:C80))</f>
        <v/>
      </c>
      <c r="F38" s="87"/>
      <c r="G38" s="87"/>
      <c r="H38" s="134"/>
      <c r="I38" s="98"/>
      <c r="J38" s="98"/>
      <c r="K38" s="98"/>
      <c r="L38" s="64"/>
      <c r="M38" s="64"/>
      <c r="N38" s="64"/>
      <c r="O38" s="64"/>
      <c r="P38" s="64"/>
      <c r="Q38" s="64"/>
      <c r="R38" s="64"/>
    </row>
    <row r="39">
      <c r="A39" s="64"/>
      <c r="B39" s="64" t="str">
        <f>CONCATENATE('Character Sheet'!X33," ",'Character Sheet'!Y33," ")</f>
        <v> 0 </v>
      </c>
      <c r="C39" s="91" t="str">
        <f>CONCATENATE("(",'Character Sheet'!Z33,"), ")</f>
        <v>(0d6), </v>
      </c>
      <c r="D39" s="64"/>
      <c r="H39" s="134"/>
      <c r="I39" s="98"/>
      <c r="J39" s="98"/>
      <c r="K39" s="98"/>
      <c r="L39" s="64"/>
      <c r="M39" s="64"/>
      <c r="N39" s="64"/>
      <c r="O39" s="64"/>
      <c r="P39" s="64"/>
      <c r="Q39" s="64"/>
      <c r="R39" s="64"/>
    </row>
    <row r="40">
      <c r="A40" s="64"/>
      <c r="B40" s="64" t="str">
        <f>CONCATENATE('Character Sheet'!X34," ",'Character Sheet'!Y34," ")</f>
        <v> 0 </v>
      </c>
      <c r="C40" s="91" t="str">
        <f>CONCATENATE("(",'Character Sheet'!Z34,"), ")</f>
        <v>(0d6), </v>
      </c>
      <c r="D40" s="64"/>
      <c r="E40" s="36"/>
      <c r="F40" s="36"/>
      <c r="G40" s="36"/>
      <c r="H40" s="134"/>
      <c r="I40" s="98"/>
      <c r="J40" s="98"/>
      <c r="K40" s="98"/>
      <c r="L40" s="64"/>
      <c r="M40" s="64"/>
      <c r="N40" s="64"/>
      <c r="O40" s="64"/>
      <c r="P40" s="64"/>
      <c r="Q40" s="64"/>
      <c r="R40" s="64"/>
    </row>
    <row r="41">
      <c r="A41" s="64"/>
      <c r="B41" s="64" t="str">
        <f>CONCATENATE('Character Sheet'!X35," ",'Character Sheet'!Y35," ")</f>
        <v> 0 </v>
      </c>
      <c r="C41" s="91" t="str">
        <f>CONCATENATE("(",'Character Sheet'!Z35,"), ")</f>
        <v>(0d6), </v>
      </c>
      <c r="D41" s="64"/>
      <c r="E41" s="150"/>
      <c r="H41" s="134"/>
      <c r="I41" s="98"/>
      <c r="J41" s="98"/>
      <c r="K41" s="98"/>
      <c r="L41" s="64"/>
      <c r="M41" s="64"/>
      <c r="N41" s="64"/>
      <c r="O41" s="64"/>
      <c r="P41" s="64"/>
      <c r="Q41" s="64"/>
      <c r="R41" s="64"/>
    </row>
    <row r="42">
      <c r="A42" s="64"/>
      <c r="B42" s="64" t="str">
        <f>CONCATENATE('Character Sheet'!X36," ",'Character Sheet'!Y36," ")</f>
        <v> 0 </v>
      </c>
      <c r="C42" s="91" t="str">
        <f>CONCATENATE("(",'Character Sheet'!Z36,"), ")</f>
        <v>(0d6), </v>
      </c>
      <c r="D42" s="64"/>
      <c r="H42" s="134"/>
      <c r="I42" s="98"/>
      <c r="J42" s="98"/>
      <c r="K42" s="98"/>
      <c r="L42" s="64"/>
      <c r="M42" s="64"/>
      <c r="N42" s="64"/>
      <c r="O42" s="64"/>
      <c r="P42" s="64"/>
      <c r="Q42" s="64"/>
      <c r="R42" s="64"/>
    </row>
    <row r="43">
      <c r="A43" s="64"/>
      <c r="B43" s="64" t="str">
        <f>CONCATENATE('Character Sheet'!X37," ",'Character Sheet'!Y37," ")</f>
        <v> 0 </v>
      </c>
      <c r="C43" s="91" t="str">
        <f>CONCATENATE("(",'Character Sheet'!Z37,"), ")</f>
        <v>(0d6), </v>
      </c>
      <c r="D43" s="64"/>
      <c r="H43" s="134"/>
      <c r="I43" s="98"/>
      <c r="J43" s="98"/>
      <c r="K43" s="98"/>
      <c r="L43" s="64"/>
      <c r="M43" s="64"/>
      <c r="N43" s="64"/>
      <c r="O43" s="64"/>
      <c r="P43" s="64"/>
      <c r="Q43" s="64"/>
      <c r="R43" s="64"/>
    </row>
    <row r="44">
      <c r="A44" s="64"/>
      <c r="B44" s="64" t="str">
        <f>CONCATENATE('Character Sheet'!X38," ",'Character Sheet'!Y38," ")</f>
        <v> 0 </v>
      </c>
      <c r="C44" s="91" t="str">
        <f>CONCATENATE("(",'Character Sheet'!Z38,"), ")</f>
        <v>(0d6), </v>
      </c>
      <c r="D44" s="64"/>
      <c r="E44" s="154"/>
      <c r="H44" s="155"/>
      <c r="I44" s="98"/>
      <c r="J44" s="98"/>
      <c r="K44" s="98"/>
      <c r="L44" s="64"/>
      <c r="M44" s="64"/>
      <c r="N44" s="64"/>
      <c r="O44" s="64"/>
      <c r="P44" s="64"/>
      <c r="Q44" s="64"/>
      <c r="R44" s="64"/>
    </row>
    <row r="45">
      <c r="A45" s="64"/>
      <c r="B45" s="64" t="str">
        <f>CONCATENATE('Character Sheet'!X39," ",'Character Sheet'!Y39," ")</f>
        <v> 0 </v>
      </c>
      <c r="C45" s="91" t="str">
        <f>CONCATENATE("(",'Character Sheet'!Z39,"), ")</f>
        <v>(0d6), </v>
      </c>
      <c r="D45" s="64"/>
      <c r="H45" s="155"/>
      <c r="I45" s="98"/>
      <c r="J45" s="98"/>
      <c r="K45" s="98"/>
      <c r="L45" s="64"/>
      <c r="M45" s="64"/>
      <c r="N45" s="64"/>
      <c r="O45" s="64"/>
      <c r="P45" s="64"/>
      <c r="Q45" s="64"/>
      <c r="R45" s="64"/>
    </row>
    <row r="46">
      <c r="A46" s="64"/>
      <c r="B46" s="64" t="str">
        <f>CONCATENATE('Character Sheet'!X40," ",'Character Sheet'!Y40," ")</f>
        <v> 0 </v>
      </c>
      <c r="C46" s="91" t="str">
        <f>CONCATENATE("(",'Character Sheet'!Z40,"), ")</f>
        <v>(0d6), </v>
      </c>
      <c r="D46" s="64"/>
      <c r="H46" s="155"/>
      <c r="I46" s="98"/>
      <c r="J46" s="98"/>
      <c r="K46" s="98"/>
      <c r="L46" s="64"/>
      <c r="M46" s="64"/>
      <c r="N46" s="64"/>
      <c r="O46" s="64"/>
      <c r="P46" s="64"/>
      <c r="Q46" s="64"/>
      <c r="R46" s="64"/>
    </row>
    <row r="47">
      <c r="A47" s="64"/>
      <c r="B47" s="64" t="str">
        <f>CONCATENATE('Character Sheet'!X41," ",'Character Sheet'!Y41," ")</f>
        <v> 0 </v>
      </c>
      <c r="C47" s="91" t="str">
        <f>CONCATENATE("(",'Character Sheet'!Z41,"), ")</f>
        <v>(0d6), </v>
      </c>
      <c r="D47" s="64"/>
      <c r="H47" s="159"/>
      <c r="I47" s="98"/>
      <c r="J47" s="98"/>
      <c r="K47" s="98"/>
      <c r="L47" s="64"/>
      <c r="M47" s="64"/>
      <c r="N47" s="64"/>
      <c r="O47" s="64"/>
      <c r="P47" s="64"/>
      <c r="Q47" s="64"/>
      <c r="R47" s="64"/>
    </row>
    <row r="48">
      <c r="A48" s="64"/>
      <c r="B48" s="64" t="str">
        <f>CONCATENATE('Character Sheet'!X42," ",'Character Sheet'!Y42," ")</f>
        <v> 0 </v>
      </c>
      <c r="C48" s="91" t="str">
        <f>CONCATENATE("(",'Character Sheet'!Z42,"), ")</f>
        <v>(0d6), </v>
      </c>
      <c r="D48" s="64"/>
      <c r="E48" s="154"/>
      <c r="H48" s="155"/>
      <c r="I48" s="98"/>
      <c r="J48" s="98"/>
      <c r="K48" s="98"/>
      <c r="L48" s="64"/>
      <c r="M48" s="64"/>
      <c r="N48" s="64"/>
      <c r="O48" s="64"/>
      <c r="P48" s="64"/>
      <c r="Q48" s="64"/>
      <c r="R48" s="64"/>
    </row>
    <row r="49">
      <c r="A49" s="64"/>
      <c r="B49" s="64" t="str">
        <f>CONCATENATE('Character Sheet'!X43," ",'Character Sheet'!Y43," ")</f>
        <v> 0 </v>
      </c>
      <c r="C49" s="91" t="str">
        <f>CONCATENATE("(",'Character Sheet'!Z43,"), ")</f>
        <v>(0d6), </v>
      </c>
      <c r="D49" s="64"/>
      <c r="H49" s="155"/>
      <c r="I49" s="98"/>
      <c r="J49" s="98"/>
      <c r="K49" s="98"/>
      <c r="L49" s="64"/>
      <c r="M49" s="64"/>
      <c r="N49" s="64"/>
      <c r="O49" s="64"/>
      <c r="P49" s="64"/>
      <c r="Q49" s="64"/>
      <c r="R49" s="64"/>
    </row>
    <row r="50">
      <c r="A50" s="64"/>
      <c r="B50" s="64" t="str">
        <f>CONCATENATE('Character Sheet'!X44," ",'Character Sheet'!Y44," ")</f>
        <v> 0 </v>
      </c>
      <c r="C50" s="91" t="str">
        <f>CONCATENATE("(",'Character Sheet'!Z44,"), ")</f>
        <v>(0d6), </v>
      </c>
      <c r="D50" s="64"/>
      <c r="H50" s="155"/>
      <c r="I50" s="98"/>
      <c r="J50" s="98"/>
      <c r="K50" s="98"/>
      <c r="L50" s="64"/>
      <c r="M50" s="64"/>
      <c r="N50" s="64"/>
      <c r="O50" s="64"/>
      <c r="P50" s="64"/>
      <c r="Q50" s="64"/>
      <c r="R50" s="64"/>
    </row>
    <row r="51">
      <c r="A51" s="64"/>
      <c r="B51" s="64" t="str">
        <f>CONCATENATE('Character Sheet'!X45," ",'Character Sheet'!Y45," ")</f>
        <v> 0 </v>
      </c>
      <c r="C51" s="91" t="str">
        <f>CONCATENATE("(",'Character Sheet'!Z45,"), ")</f>
        <v>(0d6), </v>
      </c>
      <c r="D51" s="64"/>
      <c r="H51" s="159"/>
      <c r="I51" s="98"/>
      <c r="J51" s="98"/>
      <c r="K51" s="98"/>
      <c r="L51" s="64"/>
      <c r="M51" s="64"/>
      <c r="N51" s="64"/>
      <c r="O51" s="64"/>
      <c r="P51" s="64"/>
      <c r="Q51" s="64"/>
      <c r="R51" s="64"/>
    </row>
    <row r="52">
      <c r="A52" s="64"/>
      <c r="B52" s="64" t="str">
        <f>CONCATENATE('Character Sheet'!X46," ",'Character Sheet'!Y46," ")</f>
        <v> 0 </v>
      </c>
      <c r="C52" s="91" t="str">
        <f>CONCATENATE("(",'Character Sheet'!Z46,"), ")</f>
        <v>(0d6), </v>
      </c>
      <c r="D52" s="64"/>
      <c r="E52" s="154"/>
      <c r="H52" s="155"/>
      <c r="I52" s="98"/>
      <c r="J52" s="98"/>
      <c r="K52" s="98"/>
      <c r="L52" s="64"/>
      <c r="M52" s="64"/>
      <c r="N52" s="64"/>
      <c r="O52" s="64"/>
      <c r="P52" s="64"/>
      <c r="Q52" s="64"/>
      <c r="R52" s="64"/>
    </row>
    <row r="53">
      <c r="A53" s="64"/>
      <c r="B53" s="64" t="str">
        <f>CONCATENATE('Character Sheet'!X47," ",'Character Sheet'!Y47," ")</f>
        <v> 0 </v>
      </c>
      <c r="C53" s="91" t="str">
        <f>CONCATENATE("(",'Character Sheet'!Z47,"), ")</f>
        <v>(0d6), </v>
      </c>
      <c r="D53" s="64"/>
      <c r="H53" s="155"/>
      <c r="I53" s="98"/>
      <c r="J53" s="98"/>
      <c r="K53" s="98"/>
      <c r="L53" s="64"/>
      <c r="M53" s="64"/>
      <c r="N53" s="64"/>
      <c r="O53" s="64"/>
      <c r="P53" s="64"/>
      <c r="Q53" s="64"/>
      <c r="R53" s="64"/>
    </row>
    <row r="54">
      <c r="A54" s="64"/>
      <c r="B54" s="64" t="str">
        <f>CONCATENATE('Character Sheet'!X48," ",'Character Sheet'!Y48," ")</f>
        <v> 0 </v>
      </c>
      <c r="C54" s="91" t="str">
        <f>CONCATENATE("(",'Character Sheet'!Z48,"), ")</f>
        <v>(0d6), </v>
      </c>
      <c r="D54" s="64"/>
      <c r="H54" s="155"/>
      <c r="I54" s="98"/>
      <c r="J54" s="98"/>
      <c r="K54" s="98"/>
      <c r="L54" s="64"/>
      <c r="M54" s="64"/>
      <c r="N54" s="64"/>
      <c r="O54" s="64"/>
      <c r="P54" s="64"/>
      <c r="Q54" s="64"/>
      <c r="R54" s="64"/>
    </row>
    <row r="55">
      <c r="A55" s="64"/>
      <c r="B55" s="64" t="str">
        <f>CONCATENATE('Character Sheet'!X49," ",'Character Sheet'!Y49," ")</f>
        <v> 0 </v>
      </c>
      <c r="C55" s="91" t="str">
        <f>CONCATENATE("(",'Character Sheet'!Z49,")")</f>
        <v>(0d6)</v>
      </c>
      <c r="D55" s="64"/>
      <c r="H55" s="159"/>
      <c r="I55" s="98"/>
      <c r="J55" s="64"/>
      <c r="K55" s="64"/>
      <c r="L55" s="64"/>
      <c r="M55" s="64"/>
      <c r="N55" s="64"/>
      <c r="O55" s="64"/>
      <c r="P55" s="64"/>
      <c r="Q55" s="64"/>
      <c r="R55" s="64"/>
    </row>
    <row r="56">
      <c r="A56" s="64"/>
      <c r="B56" s="64"/>
      <c r="C56" s="64"/>
      <c r="D56" s="64"/>
      <c r="E56" s="154"/>
      <c r="H56" s="155"/>
      <c r="I56" s="98"/>
      <c r="J56" s="64"/>
      <c r="K56" s="64"/>
      <c r="L56" s="64"/>
      <c r="M56" s="64"/>
      <c r="N56" s="64"/>
      <c r="O56" s="64"/>
      <c r="P56" s="64"/>
      <c r="Q56" s="64"/>
      <c r="R56" s="64"/>
    </row>
    <row r="57">
      <c r="A57" s="64"/>
      <c r="B57" s="64"/>
      <c r="C57" s="64"/>
      <c r="D57" s="64"/>
      <c r="H57" s="155"/>
      <c r="I57" s="98"/>
      <c r="J57" s="64"/>
      <c r="K57" s="64"/>
      <c r="L57" s="64"/>
      <c r="M57" s="64"/>
      <c r="N57" s="64"/>
      <c r="O57" s="64"/>
      <c r="P57" s="64"/>
      <c r="Q57" s="64"/>
      <c r="R57" s="64"/>
    </row>
    <row r="58">
      <c r="A58" s="64"/>
      <c r="B58" s="64" t="str">
        <f t="shared" ref="B58:B80" si="2">IF(B33=" 0 ","",B33)</f>
        <v>Select Skill 1 </v>
      </c>
      <c r="C58" s="64" t="str">
        <f t="shared" ref="C58:C80" si="3">IF(B58="","",C33)</f>
        <v>(1d6), </v>
      </c>
      <c r="D58" s="64"/>
      <c r="H58" s="155"/>
      <c r="I58" s="98"/>
      <c r="J58" s="98"/>
      <c r="K58" s="98"/>
      <c r="L58" s="64"/>
      <c r="M58" s="64"/>
      <c r="N58" s="64"/>
      <c r="O58" s="64"/>
      <c r="P58" s="64"/>
      <c r="Q58" s="64"/>
      <c r="R58" s="64"/>
    </row>
    <row r="59">
      <c r="A59" s="64"/>
      <c r="B59" s="64" t="str">
        <f t="shared" si="2"/>
        <v/>
      </c>
      <c r="C59" s="64" t="str">
        <f t="shared" si="3"/>
        <v/>
      </c>
      <c r="D59" s="64"/>
      <c r="H59" s="159"/>
      <c r="I59" s="98"/>
      <c r="J59" s="98"/>
      <c r="K59" s="98"/>
      <c r="L59" s="64"/>
      <c r="M59" s="64"/>
      <c r="N59" s="64"/>
      <c r="O59" s="64"/>
      <c r="P59" s="64"/>
      <c r="Q59" s="64"/>
      <c r="R59" s="64"/>
    </row>
    <row r="60">
      <c r="A60" s="64"/>
      <c r="B60" s="64" t="str">
        <f t="shared" si="2"/>
        <v/>
      </c>
      <c r="C60" s="64" t="str">
        <f t="shared" si="3"/>
        <v/>
      </c>
      <c r="D60" s="64"/>
      <c r="E60" s="154"/>
      <c r="H60" s="155"/>
      <c r="I60" s="64"/>
      <c r="J60" s="64"/>
      <c r="K60" s="64"/>
      <c r="L60" s="64"/>
      <c r="M60" s="64"/>
      <c r="N60" s="64"/>
      <c r="O60" s="64"/>
      <c r="P60" s="64"/>
      <c r="Q60" s="64"/>
      <c r="R60" s="64"/>
    </row>
    <row r="61">
      <c r="A61" s="64"/>
      <c r="B61" s="64" t="str">
        <f t="shared" si="2"/>
        <v/>
      </c>
      <c r="C61" s="64" t="str">
        <f t="shared" si="3"/>
        <v/>
      </c>
      <c r="D61" s="64"/>
      <c r="H61" s="155"/>
      <c r="I61" s="64"/>
      <c r="J61" s="64"/>
      <c r="K61" s="64"/>
      <c r="L61" s="64"/>
      <c r="M61" s="64"/>
      <c r="N61" s="64"/>
      <c r="O61" s="64"/>
      <c r="P61" s="64"/>
      <c r="Q61" s="64"/>
      <c r="R61" s="64"/>
    </row>
    <row r="62">
      <c r="A62" s="64"/>
      <c r="B62" s="64" t="str">
        <f t="shared" si="2"/>
        <v/>
      </c>
      <c r="C62" s="64" t="str">
        <f t="shared" si="3"/>
        <v/>
      </c>
      <c r="D62" s="64"/>
      <c r="H62" s="155"/>
      <c r="I62" s="64"/>
      <c r="J62" s="64"/>
      <c r="K62" s="64"/>
      <c r="L62" s="64"/>
      <c r="M62" s="64"/>
      <c r="N62" s="64"/>
      <c r="O62" s="64"/>
      <c r="P62" s="64"/>
      <c r="Q62" s="64"/>
      <c r="R62" s="64"/>
    </row>
    <row r="63">
      <c r="A63" s="64"/>
      <c r="B63" s="64" t="str">
        <f t="shared" si="2"/>
        <v/>
      </c>
      <c r="C63" s="64" t="str">
        <f t="shared" si="3"/>
        <v/>
      </c>
      <c r="D63" s="64"/>
      <c r="H63" s="159"/>
      <c r="I63" s="64"/>
      <c r="J63" s="64"/>
      <c r="K63" s="64"/>
      <c r="L63" s="64"/>
      <c r="M63" s="64"/>
      <c r="N63" s="64"/>
      <c r="O63" s="64"/>
      <c r="P63" s="64"/>
      <c r="Q63" s="64"/>
      <c r="R63" s="64"/>
    </row>
    <row r="64">
      <c r="A64" s="64"/>
      <c r="B64" s="64" t="str">
        <f t="shared" si="2"/>
        <v/>
      </c>
      <c r="C64" s="64" t="str">
        <f t="shared" si="3"/>
        <v/>
      </c>
      <c r="D64" s="64"/>
      <c r="E64" s="154"/>
      <c r="H64" s="155"/>
      <c r="I64" s="64"/>
      <c r="J64" s="64"/>
      <c r="K64" s="64"/>
      <c r="L64" s="64"/>
      <c r="M64" s="64"/>
      <c r="N64" s="64"/>
      <c r="O64" s="64"/>
      <c r="P64" s="64"/>
      <c r="Q64" s="64"/>
      <c r="R64" s="64"/>
    </row>
    <row r="65">
      <c r="A65" s="64"/>
      <c r="B65" s="64" t="str">
        <f t="shared" si="2"/>
        <v/>
      </c>
      <c r="C65" s="64" t="str">
        <f t="shared" si="3"/>
        <v/>
      </c>
      <c r="D65" s="64"/>
      <c r="H65" s="155"/>
      <c r="I65" s="64"/>
      <c r="J65" s="64"/>
      <c r="K65" s="64"/>
      <c r="L65" s="64"/>
      <c r="M65" s="64"/>
      <c r="N65" s="64"/>
      <c r="O65" s="64"/>
      <c r="P65" s="64"/>
      <c r="Q65" s="64"/>
      <c r="R65" s="64"/>
    </row>
    <row r="66">
      <c r="A66" s="64"/>
      <c r="B66" s="64" t="str">
        <f t="shared" si="2"/>
        <v/>
      </c>
      <c r="C66" s="64" t="str">
        <f t="shared" si="3"/>
        <v/>
      </c>
      <c r="D66" s="64"/>
      <c r="H66" s="155"/>
      <c r="I66" s="64"/>
      <c r="J66" s="64"/>
      <c r="K66" s="64"/>
      <c r="L66" s="64"/>
      <c r="M66" s="64"/>
      <c r="N66" s="64"/>
      <c r="O66" s="64"/>
      <c r="P66" s="64"/>
      <c r="Q66" s="64"/>
      <c r="R66" s="64"/>
    </row>
    <row r="67">
      <c r="A67" s="64"/>
      <c r="B67" s="64" t="str">
        <f t="shared" si="2"/>
        <v/>
      </c>
      <c r="C67" s="64" t="str">
        <f t="shared" si="3"/>
        <v/>
      </c>
      <c r="D67" s="64"/>
      <c r="H67" s="159"/>
      <c r="I67" s="64"/>
      <c r="J67" s="64"/>
      <c r="K67" s="64"/>
      <c r="L67" s="64"/>
      <c r="M67" s="64"/>
      <c r="N67" s="64"/>
      <c r="O67" s="64"/>
      <c r="P67" s="64"/>
      <c r="Q67" s="64"/>
      <c r="R67" s="64"/>
    </row>
    <row r="68">
      <c r="A68" s="64"/>
      <c r="B68" s="64" t="str">
        <f t="shared" si="2"/>
        <v/>
      </c>
      <c r="C68" s="64" t="str">
        <f t="shared" si="3"/>
        <v/>
      </c>
      <c r="D68" s="64"/>
      <c r="E68" s="154"/>
      <c r="H68" s="155"/>
      <c r="I68" s="64"/>
      <c r="J68" s="64"/>
      <c r="K68" s="64"/>
      <c r="L68" s="64"/>
      <c r="M68" s="64"/>
      <c r="N68" s="64"/>
      <c r="O68" s="64"/>
      <c r="P68" s="64"/>
      <c r="Q68" s="64"/>
      <c r="R68" s="64"/>
    </row>
    <row r="69">
      <c r="A69" s="64"/>
      <c r="B69" s="64" t="str">
        <f t="shared" si="2"/>
        <v/>
      </c>
      <c r="C69" s="64" t="str">
        <f t="shared" si="3"/>
        <v/>
      </c>
      <c r="D69" s="64"/>
      <c r="H69" s="155"/>
      <c r="I69" s="64"/>
      <c r="J69" s="64"/>
      <c r="K69" s="64"/>
      <c r="L69" s="64"/>
      <c r="M69" s="64"/>
      <c r="N69" s="64"/>
      <c r="O69" s="64"/>
      <c r="P69" s="64"/>
      <c r="Q69" s="64"/>
      <c r="R69" s="64"/>
    </row>
    <row r="70">
      <c r="A70" s="64"/>
      <c r="B70" s="64" t="str">
        <f t="shared" si="2"/>
        <v/>
      </c>
      <c r="C70" s="64" t="str">
        <f t="shared" si="3"/>
        <v/>
      </c>
      <c r="D70" s="64"/>
      <c r="H70" s="155"/>
      <c r="I70" s="64"/>
      <c r="J70" s="64"/>
      <c r="K70" s="64"/>
      <c r="L70" s="64"/>
      <c r="M70" s="64"/>
      <c r="N70" s="64"/>
      <c r="O70" s="64"/>
      <c r="P70" s="64"/>
      <c r="Q70" s="64"/>
      <c r="R70" s="64"/>
    </row>
    <row r="71">
      <c r="A71" s="64"/>
      <c r="B71" s="64" t="str">
        <f t="shared" si="2"/>
        <v/>
      </c>
      <c r="C71" s="64" t="str">
        <f t="shared" si="3"/>
        <v/>
      </c>
      <c r="D71" s="64"/>
      <c r="H71" s="159"/>
      <c r="I71" s="64"/>
      <c r="J71" s="64"/>
      <c r="K71" s="64"/>
      <c r="L71" s="64"/>
      <c r="M71" s="64"/>
      <c r="N71" s="64"/>
      <c r="O71" s="64"/>
      <c r="P71" s="64"/>
      <c r="Q71" s="64"/>
      <c r="R71" s="64"/>
    </row>
    <row r="72">
      <c r="A72" s="64"/>
      <c r="B72" s="64" t="str">
        <f t="shared" si="2"/>
        <v/>
      </c>
      <c r="C72" s="64" t="str">
        <f t="shared" si="3"/>
        <v/>
      </c>
      <c r="D72" s="64"/>
      <c r="E72" s="154"/>
      <c r="H72" s="155"/>
      <c r="I72" s="64"/>
      <c r="J72" s="64"/>
      <c r="K72" s="64"/>
      <c r="L72" s="64"/>
      <c r="M72" s="64"/>
      <c r="N72" s="64"/>
      <c r="O72" s="64"/>
      <c r="P72" s="64"/>
      <c r="Q72" s="64"/>
      <c r="R72" s="64"/>
    </row>
    <row r="73">
      <c r="A73" s="64"/>
      <c r="B73" s="64" t="str">
        <f t="shared" si="2"/>
        <v/>
      </c>
      <c r="C73" s="64" t="str">
        <f t="shared" si="3"/>
        <v/>
      </c>
      <c r="D73" s="64"/>
      <c r="H73" s="155"/>
      <c r="I73" s="64"/>
      <c r="J73" s="64"/>
      <c r="K73" s="64"/>
      <c r="L73" s="64"/>
      <c r="M73" s="64"/>
      <c r="N73" s="64"/>
      <c r="O73" s="64"/>
      <c r="P73" s="64"/>
      <c r="Q73" s="64"/>
      <c r="R73" s="64"/>
    </row>
    <row r="74">
      <c r="A74" s="64"/>
      <c r="B74" s="64" t="str">
        <f t="shared" si="2"/>
        <v/>
      </c>
      <c r="C74" s="64" t="str">
        <f t="shared" si="3"/>
        <v/>
      </c>
      <c r="D74" s="64"/>
      <c r="H74" s="155"/>
      <c r="I74" s="64"/>
      <c r="J74" s="64"/>
      <c r="K74" s="64"/>
      <c r="L74" s="64"/>
      <c r="M74" s="64"/>
      <c r="N74" s="64"/>
      <c r="O74" s="64"/>
      <c r="P74" s="64"/>
      <c r="Q74" s="64"/>
      <c r="R74" s="64"/>
    </row>
    <row r="75">
      <c r="A75" s="64"/>
      <c r="B75" s="64" t="str">
        <f t="shared" si="2"/>
        <v/>
      </c>
      <c r="C75" s="64" t="str">
        <f t="shared" si="3"/>
        <v/>
      </c>
      <c r="D75" s="64"/>
      <c r="H75" s="64"/>
      <c r="I75" s="64"/>
      <c r="J75" s="64"/>
      <c r="K75" s="64"/>
      <c r="L75" s="64"/>
      <c r="M75" s="64"/>
      <c r="N75" s="64"/>
      <c r="O75" s="64"/>
      <c r="P75" s="64"/>
      <c r="Q75" s="64"/>
      <c r="R75" s="64"/>
    </row>
    <row r="76">
      <c r="A76" s="64"/>
      <c r="B76" s="64" t="str">
        <f t="shared" si="2"/>
        <v/>
      </c>
      <c r="C76" s="64" t="str">
        <f t="shared" si="3"/>
        <v/>
      </c>
      <c r="D76" s="64"/>
      <c r="H76" s="64"/>
      <c r="I76" s="64"/>
      <c r="J76" s="64"/>
      <c r="K76" s="64"/>
      <c r="L76" s="64"/>
      <c r="M76" s="64"/>
      <c r="N76" s="64"/>
      <c r="O76" s="64"/>
      <c r="P76" s="64"/>
      <c r="Q76" s="64"/>
      <c r="R76" s="64"/>
    </row>
    <row r="77">
      <c r="A77" s="64"/>
      <c r="B77" s="64" t="str">
        <f t="shared" si="2"/>
        <v/>
      </c>
      <c r="C77" s="64" t="str">
        <f t="shared" si="3"/>
        <v/>
      </c>
      <c r="D77" s="64"/>
      <c r="H77" s="64"/>
      <c r="I77" s="64"/>
      <c r="J77" s="64"/>
      <c r="K77" s="64"/>
      <c r="L77" s="64"/>
      <c r="M77" s="64"/>
      <c r="N77" s="64"/>
      <c r="O77" s="64"/>
      <c r="P77" s="64"/>
      <c r="Q77" s="64"/>
      <c r="R77" s="64"/>
    </row>
    <row r="78">
      <c r="A78" s="64"/>
      <c r="B78" s="64" t="str">
        <f t="shared" si="2"/>
        <v/>
      </c>
      <c r="C78" s="64" t="str">
        <f t="shared" si="3"/>
        <v/>
      </c>
      <c r="D78" s="64"/>
      <c r="H78" s="64"/>
      <c r="I78" s="64"/>
      <c r="J78" s="64"/>
      <c r="K78" s="64"/>
      <c r="L78" s="64"/>
      <c r="M78" s="64"/>
      <c r="N78" s="64"/>
      <c r="O78" s="64"/>
      <c r="P78" s="64"/>
      <c r="Q78" s="64"/>
      <c r="R78" s="64"/>
    </row>
    <row r="79">
      <c r="A79" s="64"/>
      <c r="B79" s="64" t="str">
        <f t="shared" si="2"/>
        <v/>
      </c>
      <c r="C79" s="64" t="str">
        <f t="shared" si="3"/>
        <v/>
      </c>
      <c r="D79" s="64"/>
      <c r="H79" s="64"/>
      <c r="I79" s="64"/>
      <c r="J79" s="64"/>
      <c r="K79" s="64"/>
      <c r="L79" s="64"/>
      <c r="M79" s="64"/>
      <c r="N79" s="64"/>
      <c r="O79" s="64"/>
      <c r="P79" s="64"/>
      <c r="Q79" s="64"/>
      <c r="R79" s="64"/>
    </row>
    <row r="80">
      <c r="A80" s="64"/>
      <c r="B80" s="64" t="str">
        <f t="shared" si="2"/>
        <v/>
      </c>
      <c r="C80" s="64" t="str">
        <f t="shared" si="3"/>
        <v/>
      </c>
      <c r="D80" s="64"/>
      <c r="H80" s="64"/>
      <c r="I80" s="64"/>
      <c r="J80" s="64"/>
      <c r="K80" s="64"/>
      <c r="L80" s="64"/>
      <c r="M80" s="64"/>
      <c r="N80" s="64"/>
      <c r="O80" s="64"/>
      <c r="P80" s="64"/>
      <c r="Q80" s="64"/>
      <c r="R80" s="64"/>
    </row>
    <row r="81">
      <c r="A81" s="64"/>
      <c r="B81" s="64"/>
      <c r="C81" s="64"/>
      <c r="D81" s="64"/>
      <c r="H81" s="64"/>
      <c r="I81" s="64"/>
      <c r="J81" s="64"/>
      <c r="K81" s="64"/>
      <c r="L81" s="64"/>
      <c r="M81" s="64"/>
      <c r="N81" s="64"/>
      <c r="O81" s="64"/>
      <c r="P81" s="64"/>
      <c r="Q81" s="64"/>
      <c r="R81" s="64"/>
    </row>
    <row r="82">
      <c r="A82" s="64"/>
      <c r="B82" s="64"/>
      <c r="C82" s="64"/>
      <c r="D82" s="64"/>
      <c r="H82" s="64"/>
      <c r="I82" s="64"/>
      <c r="J82" s="64"/>
      <c r="K82" s="64"/>
      <c r="L82" s="64"/>
      <c r="M82" s="64"/>
      <c r="N82" s="64"/>
      <c r="O82" s="64"/>
      <c r="P82" s="64"/>
      <c r="Q82" s="64"/>
      <c r="R82" s="64"/>
    </row>
    <row r="83">
      <c r="A83" s="64"/>
      <c r="B83" s="64"/>
      <c r="C83" s="64"/>
      <c r="D83" s="64"/>
      <c r="H83" s="64"/>
      <c r="I83" s="64"/>
      <c r="J83" s="64"/>
      <c r="K83" s="64"/>
      <c r="L83" s="64"/>
      <c r="M83" s="64"/>
      <c r="N83" s="64"/>
      <c r="O83" s="64"/>
      <c r="P83" s="64"/>
      <c r="Q83" s="64"/>
      <c r="R83" s="64"/>
    </row>
    <row r="84">
      <c r="A84" s="64"/>
      <c r="B84" s="64"/>
      <c r="C84" s="64"/>
      <c r="D84" s="64"/>
      <c r="H84" s="64"/>
      <c r="I84" s="64"/>
      <c r="J84" s="64"/>
      <c r="K84" s="64"/>
      <c r="L84" s="64"/>
      <c r="M84" s="64"/>
      <c r="N84" s="64"/>
      <c r="O84" s="64"/>
      <c r="P84" s="64"/>
      <c r="Q84" s="64"/>
      <c r="R84" s="64"/>
    </row>
    <row r="85">
      <c r="A85" s="64"/>
      <c r="B85" s="64"/>
      <c r="C85" s="64"/>
      <c r="D85" s="64"/>
      <c r="H85" s="64"/>
      <c r="I85" s="64"/>
      <c r="J85" s="64"/>
      <c r="K85" s="64"/>
      <c r="L85" s="64"/>
      <c r="M85" s="64"/>
      <c r="N85" s="64"/>
      <c r="O85" s="64"/>
      <c r="P85" s="64"/>
      <c r="Q85" s="64"/>
      <c r="R85" s="64"/>
    </row>
    <row r="86">
      <c r="A86" s="64"/>
      <c r="B86" s="64"/>
      <c r="C86" s="64"/>
      <c r="D86" s="64"/>
      <c r="H86" s="64"/>
      <c r="I86" s="64"/>
      <c r="J86" s="64"/>
      <c r="K86" s="64"/>
      <c r="L86" s="64"/>
      <c r="M86" s="64"/>
      <c r="N86" s="64"/>
      <c r="O86" s="64"/>
      <c r="P86" s="64"/>
      <c r="Q86" s="64"/>
      <c r="R86" s="64"/>
    </row>
    <row r="87">
      <c r="A87" s="64"/>
      <c r="B87" s="64"/>
      <c r="C87" s="64"/>
      <c r="D87" s="64"/>
      <c r="H87" s="64"/>
      <c r="I87" s="64"/>
      <c r="J87" s="64"/>
      <c r="K87" s="64"/>
      <c r="L87" s="64"/>
      <c r="M87" s="64"/>
      <c r="N87" s="64"/>
      <c r="O87" s="64"/>
      <c r="P87" s="64"/>
      <c r="Q87" s="64"/>
      <c r="R87" s="64"/>
    </row>
    <row r="88">
      <c r="A88" s="64"/>
      <c r="B88" s="64"/>
      <c r="C88" s="64"/>
      <c r="D88" s="64"/>
      <c r="H88" s="64"/>
      <c r="I88" s="64"/>
      <c r="J88" s="64"/>
      <c r="K88" s="64"/>
      <c r="L88" s="64"/>
      <c r="M88" s="64"/>
      <c r="N88" s="64"/>
      <c r="O88" s="64"/>
      <c r="P88" s="64"/>
      <c r="Q88" s="64"/>
      <c r="R88" s="64"/>
    </row>
    <row r="89">
      <c r="A89" s="64"/>
      <c r="B89" s="64"/>
      <c r="C89" s="64"/>
      <c r="D89" s="64"/>
      <c r="H89" s="64"/>
      <c r="I89" s="64"/>
      <c r="J89" s="64"/>
      <c r="K89" s="64"/>
      <c r="L89" s="64"/>
      <c r="M89" s="64"/>
      <c r="N89" s="64"/>
      <c r="O89" s="64"/>
      <c r="P89" s="64"/>
      <c r="Q89" s="64"/>
      <c r="R89" s="64"/>
    </row>
    <row r="90">
      <c r="A90" s="64"/>
      <c r="B90" s="64"/>
      <c r="C90" s="64"/>
      <c r="D90" s="64"/>
      <c r="H90" s="64"/>
      <c r="I90" s="64"/>
      <c r="J90" s="64"/>
      <c r="K90" s="64"/>
      <c r="L90" s="64"/>
      <c r="M90" s="64"/>
      <c r="N90" s="64"/>
      <c r="O90" s="64"/>
      <c r="P90" s="64"/>
      <c r="Q90" s="64"/>
      <c r="R90" s="64"/>
    </row>
    <row r="91">
      <c r="A91" s="64"/>
      <c r="B91" s="64"/>
      <c r="C91" s="64"/>
      <c r="D91" s="64"/>
      <c r="H91" s="64"/>
      <c r="I91" s="64"/>
      <c r="J91" s="64"/>
      <c r="K91" s="64"/>
      <c r="L91" s="64"/>
      <c r="M91" s="64"/>
      <c r="N91" s="64"/>
      <c r="O91" s="64"/>
      <c r="P91" s="64"/>
      <c r="Q91" s="64"/>
      <c r="R91" s="64"/>
    </row>
    <row r="92">
      <c r="H92" s="64"/>
      <c r="I92" s="64"/>
      <c r="J92" s="64"/>
      <c r="K92" s="64"/>
      <c r="L92" s="64"/>
      <c r="M92" s="64"/>
      <c r="N92" s="64"/>
      <c r="O92" s="64"/>
      <c r="P92" s="64"/>
      <c r="Q92" s="64"/>
      <c r="R92" s="64"/>
    </row>
    <row r="93">
      <c r="H93" s="64"/>
      <c r="I93" s="64"/>
      <c r="J93" s="64"/>
      <c r="K93" s="64"/>
      <c r="L93" s="64"/>
      <c r="M93" s="64"/>
      <c r="N93" s="64"/>
      <c r="O93" s="64"/>
      <c r="P93" s="64"/>
      <c r="Q93" s="64"/>
      <c r="R93" s="64"/>
    </row>
    <row r="94">
      <c r="H94" s="64"/>
      <c r="I94" s="64"/>
      <c r="J94" s="64"/>
      <c r="K94" s="64"/>
      <c r="L94" s="64"/>
      <c r="M94" s="64"/>
      <c r="N94" s="64"/>
      <c r="O94" s="64"/>
      <c r="P94" s="64"/>
      <c r="Q94" s="64"/>
      <c r="R94" s="64"/>
    </row>
    <row r="95">
      <c r="H95" s="64"/>
      <c r="I95" s="64"/>
      <c r="J95" s="64"/>
      <c r="K95" s="64"/>
      <c r="L95" s="64"/>
      <c r="M95" s="64"/>
      <c r="N95" s="64"/>
      <c r="O95" s="64"/>
      <c r="P95" s="64"/>
      <c r="Q95" s="64"/>
      <c r="R95" s="64"/>
    </row>
    <row r="96">
      <c r="H96" s="64"/>
      <c r="I96" s="64"/>
      <c r="J96" s="64"/>
      <c r="K96" s="64"/>
      <c r="L96" s="64"/>
      <c r="M96" s="64"/>
      <c r="N96" s="64"/>
      <c r="O96" s="64"/>
      <c r="P96" s="64"/>
      <c r="Q96" s="64"/>
      <c r="R96" s="64"/>
    </row>
    <row r="97">
      <c r="H97" s="64"/>
      <c r="I97" s="64"/>
      <c r="J97" s="64"/>
      <c r="K97" s="64"/>
      <c r="L97" s="64"/>
      <c r="M97" s="64"/>
      <c r="N97" s="64"/>
      <c r="O97" s="64"/>
      <c r="P97" s="64"/>
      <c r="Q97" s="64"/>
      <c r="R97" s="64"/>
    </row>
    <row r="98">
      <c r="H98" s="64"/>
      <c r="I98" s="64"/>
      <c r="J98" s="64"/>
      <c r="K98" s="64"/>
      <c r="L98" s="64"/>
      <c r="M98" s="64"/>
      <c r="N98" s="64"/>
      <c r="O98" s="64"/>
      <c r="P98" s="64"/>
      <c r="Q98" s="64"/>
      <c r="R98" s="64"/>
    </row>
    <row r="99">
      <c r="H99" s="64"/>
      <c r="I99" s="64"/>
      <c r="J99" s="64"/>
      <c r="K99" s="64"/>
      <c r="L99" s="64"/>
      <c r="M99" s="64"/>
      <c r="N99" s="64"/>
      <c r="O99" s="64"/>
      <c r="P99" s="64"/>
      <c r="Q99" s="64"/>
      <c r="R99" s="64"/>
    </row>
    <row r="100">
      <c r="H100" s="64"/>
      <c r="I100" s="64"/>
      <c r="J100" s="64"/>
      <c r="K100" s="64"/>
      <c r="L100" s="64"/>
      <c r="M100" s="64"/>
      <c r="N100" s="64"/>
      <c r="O100" s="64"/>
      <c r="P100" s="64"/>
      <c r="Q100" s="64"/>
      <c r="R100" s="64"/>
    </row>
    <row r="101">
      <c r="H101" s="64"/>
      <c r="I101" s="64"/>
      <c r="J101" s="64"/>
      <c r="K101" s="64"/>
      <c r="L101" s="64"/>
      <c r="M101" s="64"/>
      <c r="N101" s="64"/>
      <c r="O101" s="64"/>
      <c r="P101" s="64"/>
      <c r="Q101" s="64"/>
      <c r="R101" s="64"/>
    </row>
    <row r="102">
      <c r="H102" s="64"/>
      <c r="I102" s="64"/>
      <c r="J102" s="64"/>
      <c r="K102" s="64"/>
      <c r="L102" s="64"/>
      <c r="M102" s="64"/>
      <c r="N102" s="64"/>
      <c r="O102" s="64"/>
      <c r="P102" s="64"/>
      <c r="Q102" s="64"/>
      <c r="R102" s="64"/>
    </row>
    <row r="103">
      <c r="H103" s="64"/>
      <c r="I103" s="64"/>
      <c r="J103" s="64"/>
      <c r="K103" s="64"/>
      <c r="L103" s="64"/>
      <c r="M103" s="64"/>
      <c r="N103" s="64"/>
      <c r="O103" s="64"/>
      <c r="P103" s="64"/>
      <c r="Q103" s="64"/>
      <c r="R103" s="64"/>
    </row>
    <row r="104">
      <c r="H104" s="64"/>
      <c r="I104" s="64"/>
      <c r="J104" s="64"/>
      <c r="K104" s="64"/>
      <c r="L104" s="64"/>
      <c r="M104" s="64"/>
      <c r="N104" s="64"/>
      <c r="O104" s="64"/>
      <c r="P104" s="64"/>
      <c r="Q104" s="64"/>
      <c r="R104" s="64"/>
    </row>
    <row r="105">
      <c r="H105" s="64"/>
      <c r="I105" s="64"/>
      <c r="J105" s="64"/>
      <c r="K105" s="64"/>
      <c r="L105" s="64"/>
      <c r="M105" s="64"/>
      <c r="N105" s="64"/>
      <c r="O105" s="64"/>
      <c r="P105" s="64"/>
      <c r="Q105" s="64"/>
      <c r="R105" s="64"/>
    </row>
    <row r="106">
      <c r="H106" s="64"/>
      <c r="I106" s="64"/>
      <c r="J106" s="64"/>
      <c r="K106" s="64"/>
      <c r="L106" s="64"/>
      <c r="M106" s="64"/>
      <c r="N106" s="64"/>
      <c r="O106" s="64"/>
      <c r="P106" s="64"/>
      <c r="Q106" s="64"/>
      <c r="R106" s="64"/>
    </row>
    <row r="107">
      <c r="H107" s="64"/>
      <c r="I107" s="64"/>
      <c r="J107" s="64"/>
      <c r="K107" s="64"/>
      <c r="L107" s="64"/>
      <c r="M107" s="64"/>
      <c r="N107" s="64"/>
      <c r="O107" s="64"/>
      <c r="P107" s="64"/>
      <c r="Q107" s="64"/>
      <c r="R107" s="64"/>
    </row>
    <row r="108">
      <c r="H108" s="64"/>
      <c r="I108" s="64"/>
      <c r="J108" s="64"/>
      <c r="K108" s="64"/>
      <c r="L108" s="64"/>
      <c r="M108" s="64"/>
      <c r="N108" s="64"/>
      <c r="O108" s="64"/>
      <c r="P108" s="64"/>
      <c r="Q108" s="64"/>
      <c r="R108" s="64"/>
    </row>
    <row r="109">
      <c r="H109" s="64"/>
      <c r="I109" s="64"/>
      <c r="J109" s="64"/>
      <c r="K109" s="64"/>
      <c r="L109" s="64"/>
      <c r="M109" s="64"/>
      <c r="N109" s="64"/>
      <c r="O109" s="64"/>
      <c r="P109" s="64"/>
      <c r="Q109" s="64"/>
      <c r="R109" s="64"/>
    </row>
  </sheetData>
  <mergeCells count="26">
    <mergeCell ref="E19:G19"/>
    <mergeCell ref="E20:F20"/>
    <mergeCell ref="E11:G11"/>
    <mergeCell ref="E9:G10"/>
    <mergeCell ref="E16:G16"/>
    <mergeCell ref="E17:E18"/>
    <mergeCell ref="E12:G13"/>
    <mergeCell ref="E14:G14"/>
    <mergeCell ref="E15:G15"/>
    <mergeCell ref="E34:G35"/>
    <mergeCell ref="E36:G37"/>
    <mergeCell ref="E27:F27"/>
    <mergeCell ref="E29:F29"/>
    <mergeCell ref="E48:G51"/>
    <mergeCell ref="E52:G55"/>
    <mergeCell ref="E56:G59"/>
    <mergeCell ref="E60:G63"/>
    <mergeCell ref="E41:G43"/>
    <mergeCell ref="E38:G40"/>
    <mergeCell ref="E21:G22"/>
    <mergeCell ref="E23:F23"/>
    <mergeCell ref="E64:G67"/>
    <mergeCell ref="E68:G71"/>
    <mergeCell ref="E72:G75"/>
    <mergeCell ref="E44:G47"/>
    <mergeCell ref="E32:G33"/>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xSplit="3.0" ySplit="1.0" topLeftCell="D2" activePane="bottomRight" state="frozen"/>
      <selection activeCell="D1" sqref="D1" pane="topRight"/>
      <selection activeCell="A2" sqref="A2" pane="bottomLeft"/>
      <selection activeCell="D2" sqref="D2" pane="bottomRight"/>
    </sheetView>
  </sheetViews>
  <sheetFormatPr customHeight="1" defaultColWidth="14.43" defaultRowHeight="15.75"/>
  <cols>
    <col customWidth="1" min="1" max="1" width="3.71"/>
    <col customWidth="1" min="4" max="15" width="4.43"/>
    <col customWidth="1" min="16" max="18" width="8.71"/>
    <col customWidth="1" min="19" max="19" width="4.43"/>
    <col customWidth="1" min="20" max="21" width="5.14"/>
    <col customWidth="1" min="22" max="22" width="6.57"/>
    <col customWidth="1" min="23" max="24" width="10.86"/>
    <col customWidth="1" min="26" max="26" width="4.43"/>
    <col customWidth="1" min="28" max="28" width="4.43"/>
    <col customWidth="1" min="29" max="31" width="8.71"/>
    <col customWidth="1" min="32" max="40" width="7.29"/>
    <col customWidth="1" min="41" max="41" width="9.43"/>
    <col customWidth="1" min="42" max="42" width="7.29"/>
    <col customWidth="1" min="43" max="43" width="8.71"/>
    <col customWidth="1" min="45" max="45" width="5.86"/>
    <col customWidth="1" min="46" max="47" width="8.71"/>
    <col customWidth="1" min="49" max="49" width="4.43"/>
    <col customWidth="1" min="51" max="51" width="4.43"/>
    <col customWidth="1" min="55" max="56" width="10.86"/>
    <col customWidth="1" min="57" max="59" width="7.29"/>
    <col customWidth="1" min="60" max="60" width="8.0"/>
    <col customWidth="1" min="62" max="63" width="10.86"/>
    <col customWidth="1" min="64" max="66" width="7.29"/>
    <col customWidth="1" min="67" max="68" width="8.0"/>
  </cols>
  <sheetData>
    <row r="1" ht="1.5" customHeight="1">
      <c r="A1" s="182"/>
      <c r="B1" s="182" t="s">
        <v>139</v>
      </c>
      <c r="C1" s="182" t="s">
        <v>3</v>
      </c>
      <c r="D1" s="183" t="s">
        <v>56</v>
      </c>
      <c r="E1" s="183" t="s">
        <v>57</v>
      </c>
      <c r="F1" s="183" t="s">
        <v>58</v>
      </c>
      <c r="G1" s="183" t="s">
        <v>60</v>
      </c>
      <c r="H1" s="183" t="s">
        <v>59</v>
      </c>
      <c r="I1" s="183" t="s">
        <v>61</v>
      </c>
      <c r="J1" s="183" t="s">
        <v>62</v>
      </c>
      <c r="K1" s="183" t="s">
        <v>63</v>
      </c>
      <c r="L1" s="183" t="s">
        <v>64</v>
      </c>
      <c r="M1" s="183" t="s">
        <v>65</v>
      </c>
      <c r="N1" s="183" t="s">
        <v>66</v>
      </c>
      <c r="O1" s="183" t="s">
        <v>67</v>
      </c>
      <c r="P1" s="72" t="str">
        <f>VLOOKUP('Character Sheet'!P3,C2:S56,14,FALSE)</f>
        <v/>
      </c>
      <c r="Q1" s="72" t="str">
        <f>VLOOKUP('Character Sheet'!P3,C2:S56,15,FALSE)</f>
        <v/>
      </c>
      <c r="R1" s="72" t="str">
        <f>VLOOKUP('Character Sheet'!P3,C2:S56,16,FALSE)</f>
        <v/>
      </c>
      <c r="S1" s="70" t="s">
        <v>34</v>
      </c>
      <c r="T1" s="186" t="s">
        <v>141</v>
      </c>
      <c r="U1" s="186" t="s">
        <v>142</v>
      </c>
      <c r="V1" s="182" t="s">
        <v>143</v>
      </c>
      <c r="W1" s="182" t="s">
        <v>144</v>
      </c>
      <c r="X1" s="182" t="s">
        <v>145</v>
      </c>
      <c r="Y1" s="182" t="s">
        <v>146</v>
      </c>
      <c r="Z1" s="182" t="s">
        <v>147</v>
      </c>
      <c r="AA1" s="182" t="s">
        <v>148</v>
      </c>
      <c r="AB1" s="182" t="s">
        <v>147</v>
      </c>
      <c r="AC1" s="182" t="s">
        <v>149</v>
      </c>
      <c r="AD1" s="182" t="s">
        <v>97</v>
      </c>
      <c r="AE1" s="182" t="s">
        <v>98</v>
      </c>
      <c r="AF1" s="182" t="s">
        <v>150</v>
      </c>
      <c r="AG1" s="182" t="s">
        <v>115</v>
      </c>
      <c r="AH1" s="182" t="s">
        <v>116</v>
      </c>
      <c r="AI1" s="182" t="s">
        <v>151</v>
      </c>
      <c r="AJ1" s="182" t="s">
        <v>152</v>
      </c>
      <c r="AK1" s="182" t="s">
        <v>153</v>
      </c>
      <c r="AL1" s="182" t="s">
        <v>129</v>
      </c>
      <c r="AM1" s="182" t="s">
        <v>112</v>
      </c>
      <c r="AN1" s="182" t="s">
        <v>99</v>
      </c>
      <c r="AO1" s="186" t="s">
        <v>154</v>
      </c>
      <c r="AP1" s="186" t="s">
        <v>155</v>
      </c>
      <c r="AQ1" s="182" t="s">
        <v>156</v>
      </c>
      <c r="AR1" s="182" t="s">
        <v>157</v>
      </c>
      <c r="AS1" s="186" t="s">
        <v>10</v>
      </c>
      <c r="AT1" s="182" t="s">
        <v>158</v>
      </c>
      <c r="AU1" s="182" t="s">
        <v>155</v>
      </c>
      <c r="AV1" s="182" t="s">
        <v>159</v>
      </c>
      <c r="AW1" s="182" t="s">
        <v>147</v>
      </c>
      <c r="AX1" s="182" t="s">
        <v>160</v>
      </c>
      <c r="AY1" s="182" t="s">
        <v>147</v>
      </c>
      <c r="AZ1" s="182" t="s">
        <v>161</v>
      </c>
      <c r="BA1" s="182" t="s">
        <v>162</v>
      </c>
      <c r="BB1" s="182" t="s">
        <v>163</v>
      </c>
      <c r="BC1" s="182" t="s">
        <v>164</v>
      </c>
      <c r="BD1" s="182" t="s">
        <v>165</v>
      </c>
      <c r="BE1" s="186" t="s">
        <v>7</v>
      </c>
      <c r="BF1" s="182" t="s">
        <v>10</v>
      </c>
      <c r="BG1" s="182" t="s">
        <v>16</v>
      </c>
      <c r="BH1" s="186" t="s">
        <v>166</v>
      </c>
      <c r="BI1" s="182" t="s">
        <v>167</v>
      </c>
      <c r="BJ1" s="182" t="s">
        <v>164</v>
      </c>
      <c r="BK1" s="182" t="s">
        <v>165</v>
      </c>
      <c r="BL1" s="186" t="s">
        <v>7</v>
      </c>
      <c r="BM1" s="182" t="s">
        <v>10</v>
      </c>
      <c r="BN1" s="182" t="s">
        <v>16</v>
      </c>
      <c r="BO1" s="186" t="s">
        <v>166</v>
      </c>
      <c r="BP1" s="186" t="s">
        <v>113</v>
      </c>
    </row>
    <row r="2">
      <c r="A2" s="73">
        <v>1.0</v>
      </c>
      <c r="B2" s="73" t="s">
        <v>168</v>
      </c>
      <c r="C2" s="73" t="s">
        <v>38</v>
      </c>
      <c r="D2" s="77"/>
      <c r="E2" s="77"/>
      <c r="F2" s="77"/>
      <c r="G2" s="77"/>
      <c r="H2" s="77"/>
      <c r="I2" s="77"/>
      <c r="J2" s="77"/>
      <c r="K2" s="73"/>
      <c r="L2" s="77"/>
      <c r="M2" s="77"/>
      <c r="N2" s="77"/>
      <c r="O2" s="77"/>
      <c r="P2" s="77"/>
      <c r="Q2" s="75"/>
      <c r="R2" s="75"/>
      <c r="S2" s="187" t="str">
        <f t="shared" ref="S2:S42" si="1">B2</f>
        <v>Voidanoid</v>
      </c>
      <c r="T2" s="188"/>
      <c r="U2" s="188"/>
      <c r="V2" s="189"/>
      <c r="W2" s="189"/>
      <c r="X2" s="189"/>
      <c r="Y2" s="7" t="s">
        <v>26</v>
      </c>
      <c r="Z2" s="189"/>
      <c r="AA2" s="7" t="s">
        <v>26</v>
      </c>
      <c r="AB2" s="189"/>
      <c r="AC2" s="189"/>
      <c r="AD2" s="189"/>
      <c r="AE2" s="189"/>
      <c r="AF2" s="189"/>
      <c r="AG2" s="189"/>
      <c r="AH2" s="189"/>
      <c r="AI2" s="189"/>
      <c r="AJ2" s="189"/>
      <c r="AK2" s="189"/>
      <c r="AL2" s="189"/>
      <c r="AM2" s="189"/>
      <c r="AN2" s="189"/>
      <c r="AO2" s="189"/>
      <c r="AP2" s="189"/>
      <c r="AQ2" s="189"/>
      <c r="AR2" s="7" t="s">
        <v>26</v>
      </c>
      <c r="AS2" s="7"/>
      <c r="AT2" s="189"/>
      <c r="AU2" s="189"/>
      <c r="AV2" s="7" t="s">
        <v>26</v>
      </c>
      <c r="AW2" s="7"/>
      <c r="AX2" s="7" t="s">
        <v>26</v>
      </c>
      <c r="AY2" s="7"/>
      <c r="AZ2" s="7" t="s">
        <v>26</v>
      </c>
      <c r="BA2" s="7" t="s">
        <v>26</v>
      </c>
      <c r="BB2" s="7"/>
      <c r="BC2" s="7" t="s">
        <v>26</v>
      </c>
      <c r="BD2" s="7" t="s">
        <v>26</v>
      </c>
      <c r="BE2" s="7"/>
      <c r="BF2" s="7"/>
      <c r="BG2" s="7"/>
      <c r="BH2" s="191" t="s">
        <v>26</v>
      </c>
      <c r="BI2" s="7"/>
      <c r="BJ2" s="7" t="s">
        <v>26</v>
      </c>
      <c r="BK2" s="7" t="s">
        <v>26</v>
      </c>
      <c r="BL2" s="7"/>
      <c r="BM2" s="7"/>
      <c r="BN2" s="7"/>
      <c r="BO2" s="191" t="s">
        <v>26</v>
      </c>
      <c r="BP2" s="191"/>
    </row>
    <row r="3">
      <c r="A3" s="73">
        <v>2.0</v>
      </c>
      <c r="B3" s="73" t="s">
        <v>169</v>
      </c>
      <c r="C3" s="73" t="s">
        <v>170</v>
      </c>
      <c r="D3" s="77"/>
      <c r="E3" s="77"/>
      <c r="F3" s="77"/>
      <c r="G3" s="77"/>
      <c r="H3" s="77"/>
      <c r="I3" s="77"/>
      <c r="J3" s="77"/>
      <c r="K3" s="73">
        <v>2.0</v>
      </c>
      <c r="L3" s="77"/>
      <c r="M3" s="77"/>
      <c r="N3" s="77"/>
      <c r="O3" s="77"/>
      <c r="P3" s="73" t="s">
        <v>171</v>
      </c>
      <c r="Q3" s="75"/>
      <c r="R3" s="75"/>
      <c r="S3" s="187" t="str">
        <f t="shared" si="1"/>
        <v>Humanoid</v>
      </c>
      <c r="T3" s="191">
        <v>26.0</v>
      </c>
      <c r="U3" s="191">
        <v>60.0</v>
      </c>
      <c r="V3" s="189"/>
      <c r="W3" s="189"/>
      <c r="X3" s="189"/>
      <c r="Y3" s="7" t="s">
        <v>26</v>
      </c>
      <c r="Z3" s="189"/>
      <c r="AA3" s="7" t="s">
        <v>26</v>
      </c>
      <c r="AB3" s="189"/>
      <c r="AC3" s="189"/>
      <c r="AD3" s="189"/>
      <c r="AE3" s="189"/>
      <c r="AF3" s="189"/>
      <c r="AG3" s="7"/>
      <c r="AH3" s="189"/>
      <c r="AI3" s="189"/>
      <c r="AJ3" s="189"/>
      <c r="AK3" s="189"/>
      <c r="AL3" s="189"/>
      <c r="AM3" s="189"/>
      <c r="AN3" s="189"/>
      <c r="AO3" s="189"/>
      <c r="AP3" s="189"/>
      <c r="AQ3" s="189"/>
      <c r="AR3" s="7" t="s">
        <v>26</v>
      </c>
      <c r="AS3" s="7"/>
      <c r="AT3" s="189"/>
      <c r="AU3" s="189"/>
      <c r="AV3" s="7" t="s">
        <v>26</v>
      </c>
      <c r="AW3" s="7"/>
      <c r="AX3" s="7" t="s">
        <v>26</v>
      </c>
      <c r="AY3" s="7"/>
      <c r="AZ3" s="7" t="s">
        <v>26</v>
      </c>
      <c r="BA3" s="7" t="s">
        <v>26</v>
      </c>
      <c r="BB3" s="7"/>
      <c r="BC3" s="7" t="s">
        <v>26</v>
      </c>
      <c r="BD3" s="7" t="s">
        <v>26</v>
      </c>
      <c r="BE3" s="7"/>
      <c r="BF3" s="7"/>
      <c r="BG3" s="7"/>
      <c r="BH3" s="191" t="s">
        <v>26</v>
      </c>
      <c r="BI3" s="7"/>
      <c r="BJ3" s="7" t="s">
        <v>26</v>
      </c>
      <c r="BK3" s="7" t="s">
        <v>26</v>
      </c>
      <c r="BL3" s="7"/>
      <c r="BM3" s="7"/>
      <c r="BN3" s="7"/>
      <c r="BO3" s="191" t="s">
        <v>26</v>
      </c>
      <c r="BP3" s="191"/>
    </row>
    <row r="4">
      <c r="A4" s="73">
        <v>3.0</v>
      </c>
      <c r="B4" s="73" t="s">
        <v>169</v>
      </c>
      <c r="C4" s="73" t="s">
        <v>172</v>
      </c>
      <c r="D4" s="77"/>
      <c r="E4" s="77"/>
      <c r="F4" s="73">
        <v>1.0</v>
      </c>
      <c r="G4" s="77">
        <v>1.0</v>
      </c>
      <c r="H4" s="192"/>
      <c r="I4" s="77"/>
      <c r="J4" s="73">
        <v>1.0</v>
      </c>
      <c r="K4" s="73"/>
      <c r="L4" s="77"/>
      <c r="M4" s="77"/>
      <c r="N4" s="77"/>
      <c r="O4" s="77"/>
      <c r="P4" s="73" t="s">
        <v>173</v>
      </c>
      <c r="Q4" s="75"/>
      <c r="R4" s="75"/>
      <c r="S4" s="187" t="str">
        <f t="shared" si="1"/>
        <v>Humanoid</v>
      </c>
      <c r="T4" s="191">
        <v>90.0</v>
      </c>
      <c r="U4" s="191">
        <v>210.0</v>
      </c>
      <c r="V4" s="189"/>
      <c r="W4" s="189"/>
      <c r="X4" s="189"/>
      <c r="Y4" s="7" t="s">
        <v>26</v>
      </c>
      <c r="Z4" s="189"/>
      <c r="AA4" s="7" t="s">
        <v>26</v>
      </c>
      <c r="AB4" s="189"/>
      <c r="AC4" s="189"/>
      <c r="AD4" s="189"/>
      <c r="AE4" s="189"/>
      <c r="AF4" s="189"/>
      <c r="AG4" s="189"/>
      <c r="AH4" s="189"/>
      <c r="AI4" s="189"/>
      <c r="AJ4" s="189"/>
      <c r="AK4" s="189"/>
      <c r="AL4" s="189"/>
      <c r="AM4" s="189"/>
      <c r="AN4" s="189"/>
      <c r="AO4" s="189"/>
      <c r="AP4" s="189"/>
      <c r="AQ4" s="189"/>
      <c r="AR4" s="7" t="s">
        <v>26</v>
      </c>
      <c r="AS4" s="7"/>
      <c r="AT4" s="189"/>
      <c r="AU4" s="189"/>
      <c r="AV4" s="7" t="s">
        <v>26</v>
      </c>
      <c r="AW4" s="7"/>
      <c r="AX4" s="7" t="s">
        <v>26</v>
      </c>
      <c r="AY4" s="7"/>
      <c r="AZ4" s="7" t="s">
        <v>174</v>
      </c>
      <c r="BA4" s="7" t="s">
        <v>26</v>
      </c>
      <c r="BB4" s="7"/>
      <c r="BC4" s="7" t="s">
        <v>26</v>
      </c>
      <c r="BD4" s="7" t="s">
        <v>26</v>
      </c>
      <c r="BE4" s="7"/>
      <c r="BF4" s="7"/>
      <c r="BG4" s="193"/>
      <c r="BH4" s="191" t="s">
        <v>26</v>
      </c>
      <c r="BI4" s="7"/>
      <c r="BJ4" s="7" t="s">
        <v>26</v>
      </c>
      <c r="BK4" s="7" t="s">
        <v>26</v>
      </c>
      <c r="BL4" s="7"/>
      <c r="BM4" s="7"/>
      <c r="BN4" s="193"/>
      <c r="BO4" s="191" t="s">
        <v>26</v>
      </c>
      <c r="BP4" s="191"/>
    </row>
    <row r="5">
      <c r="A5" s="73">
        <v>4.0</v>
      </c>
      <c r="B5" s="73" t="s">
        <v>169</v>
      </c>
      <c r="C5" s="73" t="s">
        <v>175</v>
      </c>
      <c r="D5" s="73">
        <v>2.0</v>
      </c>
      <c r="E5" s="77"/>
      <c r="F5" s="73">
        <v>2.0</v>
      </c>
      <c r="G5" s="77"/>
      <c r="H5" s="77"/>
      <c r="I5" s="77"/>
      <c r="J5" s="77"/>
      <c r="K5" s="77"/>
      <c r="L5" s="77"/>
      <c r="M5" s="77"/>
      <c r="N5" s="77"/>
      <c r="O5" s="77"/>
      <c r="P5" s="73" t="s">
        <v>176</v>
      </c>
      <c r="Q5" s="75"/>
      <c r="R5" s="75"/>
      <c r="S5" s="187" t="str">
        <f t="shared" si="1"/>
        <v>Humanoid</v>
      </c>
      <c r="T5" s="191">
        <v>20.0</v>
      </c>
      <c r="U5" s="191">
        <v>40.0</v>
      </c>
      <c r="V5" s="189"/>
      <c r="W5" s="189"/>
      <c r="X5" s="189"/>
      <c r="Y5" s="7" t="s">
        <v>26</v>
      </c>
      <c r="Z5" s="189"/>
      <c r="AA5" s="7" t="s">
        <v>26</v>
      </c>
      <c r="AB5" s="189"/>
      <c r="AC5" s="189"/>
      <c r="AD5" s="189"/>
      <c r="AE5" s="7">
        <v>4.0</v>
      </c>
      <c r="AF5" s="189"/>
      <c r="AG5" s="189"/>
      <c r="AH5" s="189"/>
      <c r="AI5" s="189"/>
      <c r="AJ5" s="189"/>
      <c r="AK5" s="189"/>
      <c r="AL5" s="189"/>
      <c r="AM5" s="189"/>
      <c r="AN5" s="189"/>
      <c r="AO5" s="189"/>
      <c r="AP5" s="189"/>
      <c r="AQ5" s="189"/>
      <c r="AR5" s="7" t="s">
        <v>26</v>
      </c>
      <c r="AS5" s="7"/>
      <c r="AT5" s="7">
        <v>50.0</v>
      </c>
      <c r="AU5" s="189"/>
      <c r="AV5" s="7" t="s">
        <v>26</v>
      </c>
      <c r="AW5" s="7"/>
      <c r="AX5" s="7" t="s">
        <v>26</v>
      </c>
      <c r="AY5" s="7"/>
      <c r="AZ5" s="7" t="s">
        <v>26</v>
      </c>
      <c r="BA5" s="7" t="s">
        <v>26</v>
      </c>
      <c r="BB5" s="7"/>
      <c r="BC5" s="7" t="s">
        <v>26</v>
      </c>
      <c r="BD5" s="7" t="s">
        <v>26</v>
      </c>
      <c r="BE5" s="7"/>
      <c r="BF5" s="7"/>
      <c r="BG5" s="193"/>
      <c r="BH5" s="191" t="s">
        <v>26</v>
      </c>
      <c r="BI5" s="7"/>
      <c r="BJ5" s="7" t="s">
        <v>26</v>
      </c>
      <c r="BK5" s="7" t="s">
        <v>26</v>
      </c>
      <c r="BL5" s="7"/>
      <c r="BM5" s="7"/>
      <c r="BN5" s="193"/>
      <c r="BO5" s="191" t="s">
        <v>26</v>
      </c>
      <c r="BP5" s="191"/>
    </row>
    <row r="6">
      <c r="A6" s="73">
        <v>5.0</v>
      </c>
      <c r="B6" s="73" t="s">
        <v>169</v>
      </c>
      <c r="C6" s="73" t="s">
        <v>178</v>
      </c>
      <c r="D6" s="73"/>
      <c r="E6" s="73">
        <v>2.0</v>
      </c>
      <c r="F6" s="77"/>
      <c r="G6" s="77">
        <v>1.0</v>
      </c>
      <c r="H6" s="192"/>
      <c r="I6" s="77"/>
      <c r="J6" s="73">
        <v>1.0</v>
      </c>
      <c r="K6" s="73">
        <v>1.0</v>
      </c>
      <c r="L6" s="77"/>
      <c r="M6" s="77"/>
      <c r="N6" s="77"/>
      <c r="O6" s="77"/>
      <c r="P6" s="73" t="s">
        <v>171</v>
      </c>
      <c r="Q6" s="75"/>
      <c r="R6" s="75"/>
      <c r="S6" s="187" t="str">
        <f t="shared" si="1"/>
        <v>Humanoid</v>
      </c>
      <c r="T6" s="191">
        <v>12.0</v>
      </c>
      <c r="U6" s="191">
        <v>40.0</v>
      </c>
      <c r="V6" s="7"/>
      <c r="W6" s="7">
        <v>5.0</v>
      </c>
      <c r="X6" s="7">
        <v>5.0</v>
      </c>
      <c r="Y6" s="7" t="s">
        <v>26</v>
      </c>
      <c r="Z6" s="189"/>
      <c r="AA6" s="7" t="s">
        <v>26</v>
      </c>
      <c r="AB6" s="189"/>
      <c r="AC6" s="189"/>
      <c r="AD6" s="189"/>
      <c r="AE6" s="189"/>
      <c r="AF6" s="7">
        <v>2.0</v>
      </c>
      <c r="AG6" s="189"/>
      <c r="AH6" s="189"/>
      <c r="AI6" s="189"/>
      <c r="AJ6" s="189"/>
      <c r="AK6" s="189"/>
      <c r="AL6" s="189"/>
      <c r="AM6" s="189"/>
      <c r="AN6" s="189"/>
      <c r="AO6" s="189"/>
      <c r="AP6" s="189"/>
      <c r="AQ6" s="7">
        <v>1.0</v>
      </c>
      <c r="AR6" s="7" t="s">
        <v>179</v>
      </c>
      <c r="AS6" s="7"/>
      <c r="AT6" s="7"/>
      <c r="AU6" s="189"/>
      <c r="AV6" s="7" t="s">
        <v>26</v>
      </c>
      <c r="AW6" s="7"/>
      <c r="AX6" s="7" t="s">
        <v>26</v>
      </c>
      <c r="AY6" s="7"/>
      <c r="AZ6" s="7" t="s">
        <v>26</v>
      </c>
      <c r="BA6" s="7" t="s">
        <v>26</v>
      </c>
      <c r="BB6" s="7"/>
      <c r="BC6" s="7" t="s">
        <v>26</v>
      </c>
      <c r="BD6" s="7" t="s">
        <v>26</v>
      </c>
      <c r="BE6" s="7"/>
      <c r="BF6" s="7"/>
      <c r="BG6" s="193"/>
      <c r="BH6" s="191" t="s">
        <v>26</v>
      </c>
      <c r="BI6" s="7"/>
      <c r="BJ6" s="7" t="s">
        <v>26</v>
      </c>
      <c r="BK6" s="7" t="s">
        <v>26</v>
      </c>
      <c r="BL6" s="7"/>
      <c r="BM6" s="7"/>
      <c r="BN6" s="193"/>
      <c r="BO6" s="191" t="s">
        <v>26</v>
      </c>
      <c r="BP6" s="191"/>
    </row>
    <row r="7">
      <c r="A7" s="73">
        <v>6.0</v>
      </c>
      <c r="B7" s="73" t="s">
        <v>169</v>
      </c>
      <c r="C7" s="73" t="s">
        <v>181</v>
      </c>
      <c r="D7" s="73">
        <v>1.0</v>
      </c>
      <c r="E7" s="73">
        <v>1.0</v>
      </c>
      <c r="F7" s="73">
        <v>1.0</v>
      </c>
      <c r="G7" s="77"/>
      <c r="H7" s="77"/>
      <c r="I7" s="77"/>
      <c r="J7" s="77"/>
      <c r="K7" s="77"/>
      <c r="L7" s="77"/>
      <c r="M7" s="77"/>
      <c r="N7" s="77"/>
      <c r="O7" s="77"/>
      <c r="P7" s="73" t="s">
        <v>171</v>
      </c>
      <c r="Q7" s="75"/>
      <c r="R7" s="75"/>
      <c r="S7" s="187" t="str">
        <f t="shared" si="1"/>
        <v>Humanoid</v>
      </c>
      <c r="T7" s="191">
        <v>31.0</v>
      </c>
      <c r="U7" s="191">
        <v>70.0</v>
      </c>
      <c r="V7" s="189"/>
      <c r="W7" s="189"/>
      <c r="X7" s="189"/>
      <c r="Y7" s="7" t="s">
        <v>26</v>
      </c>
      <c r="Z7" s="189"/>
      <c r="AA7" s="7" t="s">
        <v>26</v>
      </c>
      <c r="AB7" s="189"/>
      <c r="AC7" s="189"/>
      <c r="AD7" s="189"/>
      <c r="AE7" s="189"/>
      <c r="AF7" s="189"/>
      <c r="AG7" s="189"/>
      <c r="AH7" s="189"/>
      <c r="AI7" s="189"/>
      <c r="AJ7" s="189"/>
      <c r="AK7" s="189"/>
      <c r="AL7" s="189"/>
      <c r="AM7" s="189"/>
      <c r="AN7" s="189"/>
      <c r="AO7" s="189"/>
      <c r="AP7" s="189"/>
      <c r="AQ7" s="189"/>
      <c r="AR7" s="7" t="s">
        <v>26</v>
      </c>
      <c r="AS7" s="7"/>
      <c r="AT7" s="189"/>
      <c r="AU7" s="189"/>
      <c r="AV7" s="7" t="s">
        <v>26</v>
      </c>
      <c r="AW7" s="7"/>
      <c r="AX7" s="7" t="s">
        <v>26</v>
      </c>
      <c r="AY7" s="7"/>
      <c r="AZ7" s="7" t="s">
        <v>26</v>
      </c>
      <c r="BA7" s="7" t="s">
        <v>26</v>
      </c>
      <c r="BB7" s="7"/>
      <c r="BC7" s="7" t="s">
        <v>26</v>
      </c>
      <c r="BD7" s="7" t="s">
        <v>26</v>
      </c>
      <c r="BE7" s="7"/>
      <c r="BF7" s="7"/>
      <c r="BG7" s="193"/>
      <c r="BH7" s="191" t="s">
        <v>26</v>
      </c>
      <c r="BI7" s="7"/>
      <c r="BJ7" s="7" t="s">
        <v>26</v>
      </c>
      <c r="BK7" s="7" t="s">
        <v>26</v>
      </c>
      <c r="BL7" s="7"/>
      <c r="BM7" s="7"/>
      <c r="BN7" s="193"/>
      <c r="BO7" s="191" t="s">
        <v>26</v>
      </c>
      <c r="BP7" s="191"/>
    </row>
    <row r="8">
      <c r="A8" s="73">
        <v>7.0</v>
      </c>
      <c r="B8" s="73" t="s">
        <v>182</v>
      </c>
      <c r="C8" s="73" t="s">
        <v>183</v>
      </c>
      <c r="D8" s="73">
        <v>2.0</v>
      </c>
      <c r="E8" s="77"/>
      <c r="F8" s="77"/>
      <c r="G8" s="77"/>
      <c r="H8" s="77"/>
      <c r="I8" s="73">
        <v>2.0</v>
      </c>
      <c r="J8" s="77"/>
      <c r="K8" s="73">
        <v>-3.0</v>
      </c>
      <c r="L8" s="73"/>
      <c r="M8" s="73"/>
      <c r="N8" s="73"/>
      <c r="O8" s="73"/>
      <c r="P8" s="73" t="s">
        <v>173</v>
      </c>
      <c r="Q8" s="76" t="s">
        <v>171</v>
      </c>
      <c r="R8" s="76" t="s">
        <v>176</v>
      </c>
      <c r="S8" s="187" t="str">
        <f t="shared" si="1"/>
        <v>Mechanoid</v>
      </c>
      <c r="T8" s="191"/>
      <c r="U8" s="191"/>
      <c r="V8" s="189"/>
      <c r="W8" s="189"/>
      <c r="X8" s="189"/>
      <c r="Y8" s="7" t="s">
        <v>26</v>
      </c>
      <c r="Z8" s="189"/>
      <c r="AA8" s="7" t="s">
        <v>26</v>
      </c>
      <c r="AB8" s="189"/>
      <c r="AC8" s="189"/>
      <c r="AD8" s="189"/>
      <c r="AE8" s="7" t="s">
        <v>184</v>
      </c>
      <c r="AF8" s="189"/>
      <c r="AG8" s="189"/>
      <c r="AH8" s="189"/>
      <c r="AI8" s="189"/>
      <c r="AJ8" s="189"/>
      <c r="AK8" s="189"/>
      <c r="AL8" s="189"/>
      <c r="AM8" s="189"/>
      <c r="AN8" s="189"/>
      <c r="AO8" s="189"/>
      <c r="AP8" s="189"/>
      <c r="AQ8" s="189"/>
      <c r="AR8" s="7" t="s">
        <v>26</v>
      </c>
      <c r="AS8" s="7"/>
      <c r="AT8" s="189"/>
      <c r="AU8" s="189"/>
      <c r="AV8" s="7" t="s">
        <v>185</v>
      </c>
      <c r="AW8" s="7">
        <v>1.0</v>
      </c>
      <c r="AX8" s="7" t="s">
        <v>186</v>
      </c>
      <c r="AY8" s="7">
        <v>2.0</v>
      </c>
      <c r="AZ8" s="7" t="s">
        <v>26</v>
      </c>
      <c r="BA8" s="7" t="s">
        <v>26</v>
      </c>
      <c r="BB8" s="7"/>
      <c r="BC8" s="7" t="s">
        <v>26</v>
      </c>
      <c r="BD8" s="7" t="s">
        <v>26</v>
      </c>
      <c r="BE8" s="7"/>
      <c r="BF8" s="7"/>
      <c r="BG8" s="193"/>
      <c r="BH8" s="191" t="s">
        <v>26</v>
      </c>
      <c r="BI8" s="7"/>
      <c r="BJ8" s="7" t="s">
        <v>26</v>
      </c>
      <c r="BK8" s="7" t="s">
        <v>26</v>
      </c>
      <c r="BL8" s="7"/>
      <c r="BM8" s="7"/>
      <c r="BN8" s="193"/>
      <c r="BO8" s="191" t="s">
        <v>26</v>
      </c>
      <c r="BP8" s="191"/>
    </row>
    <row r="9">
      <c r="A9" s="73">
        <v>8.0</v>
      </c>
      <c r="B9" s="73" t="s">
        <v>169</v>
      </c>
      <c r="C9" s="73" t="s">
        <v>187</v>
      </c>
      <c r="D9" s="77"/>
      <c r="E9" s="73">
        <v>1.0</v>
      </c>
      <c r="F9" s="77"/>
      <c r="G9" s="77"/>
      <c r="H9" s="77"/>
      <c r="I9" s="73">
        <v>2.0</v>
      </c>
      <c r="J9" s="77"/>
      <c r="K9" s="73">
        <v>-2.0</v>
      </c>
      <c r="L9" s="77"/>
      <c r="M9" s="73">
        <v>3.0</v>
      </c>
      <c r="N9" s="73"/>
      <c r="O9" s="73"/>
      <c r="P9" s="73" t="s">
        <v>171</v>
      </c>
      <c r="Q9" s="75"/>
      <c r="R9" s="75"/>
      <c r="S9" s="187" t="str">
        <f t="shared" si="1"/>
        <v>Humanoid</v>
      </c>
      <c r="T9" s="191">
        <v>190.0</v>
      </c>
      <c r="U9" s="191">
        <v>550.0</v>
      </c>
      <c r="V9" s="189"/>
      <c r="W9" s="189"/>
      <c r="X9" s="189"/>
      <c r="Y9" s="7" t="s">
        <v>26</v>
      </c>
      <c r="Z9" s="189"/>
      <c r="AA9" s="7" t="s">
        <v>26</v>
      </c>
      <c r="AB9" s="189"/>
      <c r="AC9" s="189"/>
      <c r="AD9" s="189"/>
      <c r="AE9" s="189"/>
      <c r="AF9" s="189"/>
      <c r="AG9" s="189"/>
      <c r="AH9" s="189"/>
      <c r="AI9" s="189"/>
      <c r="AJ9" s="189"/>
      <c r="AK9" s="189"/>
      <c r="AL9" s="189"/>
      <c r="AM9" s="189"/>
      <c r="AN9" s="189"/>
      <c r="AO9" s="189"/>
      <c r="AP9" s="189"/>
      <c r="AQ9" s="189"/>
      <c r="AR9" s="7" t="s">
        <v>26</v>
      </c>
      <c r="AS9" s="7"/>
      <c r="AT9" s="189"/>
      <c r="AU9" s="189"/>
      <c r="AV9" s="7" t="s">
        <v>26</v>
      </c>
      <c r="AW9" s="7"/>
      <c r="AX9" s="7" t="s">
        <v>26</v>
      </c>
      <c r="AY9" s="7"/>
      <c r="AZ9" s="7" t="s">
        <v>26</v>
      </c>
      <c r="BA9" s="7" t="s">
        <v>26</v>
      </c>
      <c r="BB9" s="7"/>
      <c r="BC9" s="7" t="s">
        <v>26</v>
      </c>
      <c r="BD9" s="7" t="s">
        <v>26</v>
      </c>
      <c r="BE9" s="7"/>
      <c r="BF9" s="7"/>
      <c r="BG9" s="193"/>
      <c r="BH9" s="191" t="s">
        <v>26</v>
      </c>
      <c r="BI9" s="7"/>
      <c r="BJ9" s="7" t="s">
        <v>26</v>
      </c>
      <c r="BK9" s="7" t="s">
        <v>26</v>
      </c>
      <c r="BL9" s="7"/>
      <c r="BM9" s="7"/>
      <c r="BN9" s="193"/>
      <c r="BO9" s="191" t="s">
        <v>26</v>
      </c>
      <c r="BP9" s="191"/>
    </row>
    <row r="10">
      <c r="A10" s="73">
        <v>9.0</v>
      </c>
      <c r="B10" s="195" t="s">
        <v>195</v>
      </c>
      <c r="C10" s="195" t="s">
        <v>196</v>
      </c>
      <c r="D10" s="73"/>
      <c r="E10" s="73">
        <v>2.0</v>
      </c>
      <c r="F10" s="73"/>
      <c r="G10" s="192"/>
      <c r="H10" s="73"/>
      <c r="I10" s="73">
        <v>2.0</v>
      </c>
      <c r="J10" s="77"/>
      <c r="K10" s="73">
        <v>-2.0</v>
      </c>
      <c r="L10" s="77"/>
      <c r="M10" s="77"/>
      <c r="N10" s="73">
        <v>3.0</v>
      </c>
      <c r="O10" s="77"/>
      <c r="P10" s="73" t="s">
        <v>171</v>
      </c>
      <c r="Q10" s="75"/>
      <c r="R10" s="75"/>
      <c r="S10" s="187" t="str">
        <f t="shared" si="1"/>
        <v>Fey</v>
      </c>
      <c r="T10" s="191">
        <v>190.0</v>
      </c>
      <c r="U10" s="191">
        <v>550.0</v>
      </c>
      <c r="V10" s="189"/>
      <c r="W10" s="189"/>
      <c r="X10" s="189"/>
      <c r="Y10" s="7" t="s">
        <v>26</v>
      </c>
      <c r="Z10" s="189"/>
      <c r="AA10" s="7" t="s">
        <v>26</v>
      </c>
      <c r="AB10" s="189"/>
      <c r="AC10" s="189"/>
      <c r="AD10" s="189"/>
      <c r="AE10" s="189"/>
      <c r="AF10" s="189"/>
      <c r="AG10" s="189"/>
      <c r="AH10" s="189"/>
      <c r="AI10" s="189"/>
      <c r="AJ10" s="189"/>
      <c r="AK10" s="189"/>
      <c r="AL10" s="189"/>
      <c r="AM10" s="189"/>
      <c r="AN10" s="189"/>
      <c r="AO10" s="189"/>
      <c r="AP10" s="189"/>
      <c r="AQ10" s="189"/>
      <c r="AR10" s="7" t="s">
        <v>26</v>
      </c>
      <c r="AS10" s="7"/>
      <c r="AT10" s="189"/>
      <c r="AU10" s="189"/>
      <c r="AV10" s="7" t="s">
        <v>26</v>
      </c>
      <c r="AW10" s="7"/>
      <c r="AX10" s="7" t="s">
        <v>26</v>
      </c>
      <c r="AY10" s="7"/>
      <c r="AZ10" s="7" t="s">
        <v>26</v>
      </c>
      <c r="BA10" s="7" t="s">
        <v>26</v>
      </c>
      <c r="BB10" s="7"/>
      <c r="BC10" s="7" t="s">
        <v>26</v>
      </c>
      <c r="BD10" s="7" t="s">
        <v>26</v>
      </c>
      <c r="BE10" s="7"/>
      <c r="BF10" s="7"/>
      <c r="BG10" s="193"/>
      <c r="BH10" s="191" t="s">
        <v>26</v>
      </c>
      <c r="BI10" s="7"/>
      <c r="BJ10" s="7" t="s">
        <v>26</v>
      </c>
      <c r="BK10" s="7" t="s">
        <v>26</v>
      </c>
      <c r="BL10" s="7"/>
      <c r="BM10" s="7"/>
      <c r="BN10" s="193"/>
      <c r="BO10" s="191" t="s">
        <v>26</v>
      </c>
      <c r="BP10" s="191"/>
    </row>
    <row r="11">
      <c r="A11" s="73">
        <v>10.0</v>
      </c>
      <c r="B11" s="73" t="s">
        <v>197</v>
      </c>
      <c r="C11" s="73" t="s">
        <v>198</v>
      </c>
      <c r="D11" s="73">
        <v>3.0</v>
      </c>
      <c r="E11" s="77"/>
      <c r="F11" s="73">
        <v>3.0</v>
      </c>
      <c r="G11" s="77"/>
      <c r="H11" s="192"/>
      <c r="I11" s="77"/>
      <c r="J11" s="73"/>
      <c r="K11" s="77"/>
      <c r="L11" s="73"/>
      <c r="M11" s="77"/>
      <c r="N11" s="77"/>
      <c r="O11" s="77"/>
      <c r="P11" s="73" t="s">
        <v>176</v>
      </c>
      <c r="Q11" s="76"/>
      <c r="R11" s="75"/>
      <c r="S11" s="187" t="str">
        <f t="shared" si="1"/>
        <v>Goblinoid</v>
      </c>
      <c r="T11" s="188"/>
      <c r="U11" s="188"/>
      <c r="V11" s="189"/>
      <c r="W11" s="189"/>
      <c r="X11" s="189"/>
      <c r="Y11" s="7" t="s">
        <v>199</v>
      </c>
      <c r="Z11" s="7">
        <v>2.0</v>
      </c>
      <c r="AA11" s="7" t="s">
        <v>200</v>
      </c>
      <c r="AB11" s="7">
        <v>5.0</v>
      </c>
      <c r="AC11" s="189"/>
      <c r="AD11" s="189"/>
      <c r="AE11" s="189"/>
      <c r="AF11" s="189"/>
      <c r="AG11" s="189"/>
      <c r="AH11" s="189"/>
      <c r="AI11" s="189"/>
      <c r="AJ11" s="189"/>
      <c r="AK11" s="189"/>
      <c r="AL11" s="189"/>
      <c r="AM11" s="189"/>
      <c r="AN11" s="189"/>
      <c r="AO11" s="189"/>
      <c r="AP11" s="189"/>
      <c r="AQ11" s="189"/>
      <c r="AR11" s="7" t="s">
        <v>26</v>
      </c>
      <c r="AS11" s="7"/>
      <c r="AT11" s="189"/>
      <c r="AU11" s="189"/>
      <c r="AV11" s="7" t="s">
        <v>26</v>
      </c>
      <c r="AW11" s="7"/>
      <c r="AX11" s="7" t="s">
        <v>26</v>
      </c>
      <c r="AY11" s="7"/>
      <c r="AZ11" s="7" t="s">
        <v>26</v>
      </c>
      <c r="BA11" s="7" t="s">
        <v>26</v>
      </c>
      <c r="BB11" s="7"/>
      <c r="BC11" s="7" t="s">
        <v>26</v>
      </c>
      <c r="BD11" s="7" t="s">
        <v>26</v>
      </c>
      <c r="BE11" s="7"/>
      <c r="BF11" s="7"/>
      <c r="BG11" s="193"/>
      <c r="BH11" s="191" t="s">
        <v>26</v>
      </c>
      <c r="BI11" s="7"/>
      <c r="BJ11" s="7" t="s">
        <v>26</v>
      </c>
      <c r="BK11" s="7" t="s">
        <v>26</v>
      </c>
      <c r="BL11" s="7"/>
      <c r="BM11" s="7"/>
      <c r="BN11" s="193"/>
      <c r="BO11" s="191" t="s">
        <v>26</v>
      </c>
      <c r="BP11" s="191"/>
    </row>
    <row r="12">
      <c r="A12" s="73">
        <v>11.0</v>
      </c>
      <c r="B12" s="73" t="s">
        <v>195</v>
      </c>
      <c r="C12" s="73" t="s">
        <v>201</v>
      </c>
      <c r="D12" s="77"/>
      <c r="E12" s="73">
        <v>2.0</v>
      </c>
      <c r="F12" s="73">
        <v>2.0</v>
      </c>
      <c r="G12" s="77"/>
      <c r="H12" s="192"/>
      <c r="I12" s="73"/>
      <c r="J12" s="77"/>
      <c r="K12" s="77"/>
      <c r="L12" s="77"/>
      <c r="M12" s="73"/>
      <c r="N12" s="73">
        <v>3.0</v>
      </c>
      <c r="O12" s="73"/>
      <c r="P12" s="73" t="s">
        <v>171</v>
      </c>
      <c r="Q12" s="75"/>
      <c r="R12" s="75"/>
      <c r="S12" s="187" t="str">
        <f t="shared" si="1"/>
        <v>Fey</v>
      </c>
      <c r="T12" s="188"/>
      <c r="U12" s="188"/>
      <c r="V12" s="189"/>
      <c r="W12" s="189"/>
      <c r="X12" s="189"/>
      <c r="Y12" s="7" t="s">
        <v>26</v>
      </c>
      <c r="Z12" s="189"/>
      <c r="AA12" s="7" t="s">
        <v>26</v>
      </c>
      <c r="AB12" s="189"/>
      <c r="AC12" s="189"/>
      <c r="AD12" s="189"/>
      <c r="AE12" s="189"/>
      <c r="AF12" s="189"/>
      <c r="AG12" s="7" t="s">
        <v>202</v>
      </c>
      <c r="AH12" s="189"/>
      <c r="AI12" s="189"/>
      <c r="AJ12" s="189"/>
      <c r="AK12" s="189"/>
      <c r="AL12" s="189"/>
      <c r="AM12" s="189"/>
      <c r="AN12" s="189"/>
      <c r="AO12" s="189"/>
      <c r="AP12" s="189"/>
      <c r="AQ12" s="189"/>
      <c r="AR12" s="7" t="s">
        <v>26</v>
      </c>
      <c r="AS12" s="7"/>
      <c r="AT12" s="189"/>
      <c r="AU12" s="189"/>
      <c r="AV12" s="7" t="s">
        <v>26</v>
      </c>
      <c r="AW12" s="7"/>
      <c r="AX12" s="7" t="s">
        <v>26</v>
      </c>
      <c r="AY12" s="7"/>
      <c r="AZ12" s="7" t="s">
        <v>26</v>
      </c>
      <c r="BA12" s="7" t="s">
        <v>26</v>
      </c>
      <c r="BB12" s="7"/>
      <c r="BC12" s="7" t="s">
        <v>26</v>
      </c>
      <c r="BD12" s="7" t="s">
        <v>26</v>
      </c>
      <c r="BE12" s="7"/>
      <c r="BF12" s="7"/>
      <c r="BG12" s="193"/>
      <c r="BH12" s="191" t="s">
        <v>26</v>
      </c>
      <c r="BI12" s="7"/>
      <c r="BJ12" s="7" t="s">
        <v>26</v>
      </c>
      <c r="BK12" s="7" t="s">
        <v>26</v>
      </c>
      <c r="BL12" s="7"/>
      <c r="BM12" s="7"/>
      <c r="BN12" s="193"/>
      <c r="BO12" s="191" t="s">
        <v>26</v>
      </c>
      <c r="BP12" s="191"/>
    </row>
    <row r="13">
      <c r="A13" s="73">
        <v>12.0</v>
      </c>
      <c r="B13" s="73" t="s">
        <v>169</v>
      </c>
      <c r="C13" s="73" t="s">
        <v>203</v>
      </c>
      <c r="D13" s="73"/>
      <c r="E13" s="73">
        <v>2.0</v>
      </c>
      <c r="F13" s="73"/>
      <c r="G13" s="77"/>
      <c r="H13" s="192"/>
      <c r="I13" s="77"/>
      <c r="J13" s="73">
        <v>2.0</v>
      </c>
      <c r="K13" s="73">
        <v>2.0</v>
      </c>
      <c r="L13" s="77"/>
      <c r="M13" s="77"/>
      <c r="N13" s="73">
        <v>1.0</v>
      </c>
      <c r="O13" s="77"/>
      <c r="P13" s="73" t="s">
        <v>173</v>
      </c>
      <c r="Q13" s="76"/>
      <c r="R13" s="75"/>
      <c r="S13" s="187" t="str">
        <f t="shared" si="1"/>
        <v>Humanoid</v>
      </c>
      <c r="T13" s="188"/>
      <c r="U13" s="188"/>
      <c r="V13" s="189"/>
      <c r="W13" s="189"/>
      <c r="X13" s="189"/>
      <c r="Y13" s="7" t="s">
        <v>26</v>
      </c>
      <c r="Z13" s="189"/>
      <c r="AA13" s="7" t="s">
        <v>26</v>
      </c>
      <c r="AB13" s="189"/>
      <c r="AC13" s="7">
        <v>5.0</v>
      </c>
      <c r="AD13" s="7">
        <v>5.0</v>
      </c>
      <c r="AE13" s="7">
        <v>5.0</v>
      </c>
      <c r="AF13" s="189"/>
      <c r="AG13" s="189"/>
      <c r="AH13" s="189"/>
      <c r="AI13" s="189"/>
      <c r="AJ13" s="189"/>
      <c r="AK13" s="189"/>
      <c r="AL13" s="189"/>
      <c r="AM13" s="189"/>
      <c r="AN13" s="189"/>
      <c r="AO13" s="189"/>
      <c r="AP13" s="189"/>
      <c r="AQ13" s="189"/>
      <c r="AR13" s="7" t="s">
        <v>26</v>
      </c>
      <c r="AS13" s="7"/>
      <c r="AT13" s="189"/>
      <c r="AU13" s="189"/>
      <c r="AV13" s="7" t="s">
        <v>26</v>
      </c>
      <c r="AW13" s="7"/>
      <c r="AX13" s="7" t="s">
        <v>26</v>
      </c>
      <c r="AY13" s="7"/>
      <c r="AZ13" s="7" t="s">
        <v>26</v>
      </c>
      <c r="BA13" s="7" t="s">
        <v>26</v>
      </c>
      <c r="BB13" s="7"/>
      <c r="BC13" s="7" t="s">
        <v>26</v>
      </c>
      <c r="BD13" s="7" t="s">
        <v>26</v>
      </c>
      <c r="BE13" s="7"/>
      <c r="BF13" s="7"/>
      <c r="BG13" s="193"/>
      <c r="BH13" s="191" t="s">
        <v>26</v>
      </c>
      <c r="BI13" s="7"/>
      <c r="BJ13" s="7" t="s">
        <v>26</v>
      </c>
      <c r="BK13" s="7" t="s">
        <v>26</v>
      </c>
      <c r="BL13" s="7"/>
      <c r="BM13" s="7"/>
      <c r="BN13" s="193"/>
      <c r="BO13" s="191" t="s">
        <v>26</v>
      </c>
      <c r="BP13" s="191"/>
    </row>
    <row r="14">
      <c r="A14" s="73">
        <v>13.0</v>
      </c>
      <c r="B14" s="73" t="s">
        <v>169</v>
      </c>
      <c r="C14" s="73" t="s">
        <v>204</v>
      </c>
      <c r="D14" s="73">
        <v>2.0</v>
      </c>
      <c r="E14" s="73">
        <v>2.0</v>
      </c>
      <c r="F14" s="77"/>
      <c r="G14" s="77">
        <v>3.0</v>
      </c>
      <c r="H14" s="192"/>
      <c r="I14" s="77"/>
      <c r="J14" s="73"/>
      <c r="K14" s="77"/>
      <c r="L14" s="77"/>
      <c r="M14" s="77"/>
      <c r="N14" s="77"/>
      <c r="O14" s="77"/>
      <c r="P14" s="73" t="s">
        <v>171</v>
      </c>
      <c r="Q14" s="75"/>
      <c r="R14" s="75"/>
      <c r="S14" s="187" t="str">
        <f t="shared" si="1"/>
        <v>Humanoid</v>
      </c>
      <c r="T14" s="188"/>
      <c r="U14" s="188"/>
      <c r="V14" s="189"/>
      <c r="W14" s="189"/>
      <c r="X14" s="189"/>
      <c r="Y14" s="7" t="s">
        <v>26</v>
      </c>
      <c r="Z14" s="189"/>
      <c r="AA14" s="7" t="s">
        <v>26</v>
      </c>
      <c r="AB14" s="189"/>
      <c r="AC14" s="7">
        <v>-2.0</v>
      </c>
      <c r="AD14" s="7">
        <v>-2.0</v>
      </c>
      <c r="AE14" s="189"/>
      <c r="AF14" s="189"/>
      <c r="AG14" s="189"/>
      <c r="AH14" s="189"/>
      <c r="AI14" s="189"/>
      <c r="AJ14" s="189"/>
      <c r="AK14" s="189"/>
      <c r="AL14" s="189"/>
      <c r="AM14" s="189"/>
      <c r="AN14" s="189"/>
      <c r="AO14" s="189"/>
      <c r="AP14" s="189"/>
      <c r="AQ14" s="189"/>
      <c r="AR14" s="7" t="s">
        <v>26</v>
      </c>
      <c r="AS14" s="7"/>
      <c r="AT14" s="189"/>
      <c r="AU14" s="189"/>
      <c r="AV14" s="7" t="s">
        <v>26</v>
      </c>
      <c r="AW14" s="7"/>
      <c r="AX14" s="7" t="s">
        <v>26</v>
      </c>
      <c r="AY14" s="7"/>
      <c r="AZ14" s="7" t="s">
        <v>26</v>
      </c>
      <c r="BA14" s="7" t="s">
        <v>26</v>
      </c>
      <c r="BB14" s="7"/>
      <c r="BC14" s="7" t="s">
        <v>26</v>
      </c>
      <c r="BD14" s="7" t="s">
        <v>26</v>
      </c>
      <c r="BE14" s="7"/>
      <c r="BF14" s="7"/>
      <c r="BG14" s="193"/>
      <c r="BH14" s="191" t="s">
        <v>26</v>
      </c>
      <c r="BI14" s="7"/>
      <c r="BJ14" s="7" t="s">
        <v>26</v>
      </c>
      <c r="BK14" s="7" t="s">
        <v>26</v>
      </c>
      <c r="BL14" s="7"/>
      <c r="BM14" s="7"/>
      <c r="BN14" s="193"/>
      <c r="BO14" s="191" t="s">
        <v>26</v>
      </c>
      <c r="BP14" s="191"/>
    </row>
    <row r="15">
      <c r="A15" s="73">
        <v>14.0</v>
      </c>
      <c r="B15" s="199" t="s">
        <v>169</v>
      </c>
      <c r="C15" s="199" t="s">
        <v>205</v>
      </c>
      <c r="D15" s="73"/>
      <c r="E15" s="73"/>
      <c r="F15" s="73">
        <v>2.0</v>
      </c>
      <c r="G15" s="192"/>
      <c r="H15" s="73">
        <v>2.0</v>
      </c>
      <c r="I15" s="77"/>
      <c r="J15" s="73"/>
      <c r="K15" s="77"/>
      <c r="L15" s="77"/>
      <c r="M15" s="77"/>
      <c r="N15" s="77"/>
      <c r="O15" s="77"/>
      <c r="P15" s="73" t="s">
        <v>173</v>
      </c>
      <c r="Q15" s="75"/>
      <c r="R15" s="75"/>
      <c r="S15" s="187" t="str">
        <f t="shared" si="1"/>
        <v>Humanoid</v>
      </c>
      <c r="T15" s="188"/>
      <c r="U15" s="188"/>
      <c r="V15" s="189"/>
      <c r="W15" s="189"/>
      <c r="X15" s="189"/>
      <c r="Y15" s="7" t="s">
        <v>26</v>
      </c>
      <c r="Z15" s="189"/>
      <c r="AA15" s="7" t="s">
        <v>26</v>
      </c>
      <c r="AB15" s="189"/>
      <c r="AC15" s="189"/>
      <c r="AD15" s="189"/>
      <c r="AE15" s="189"/>
      <c r="AF15" s="189"/>
      <c r="AG15" s="189"/>
      <c r="AH15" s="189"/>
      <c r="AI15" s="189"/>
      <c r="AJ15" s="189"/>
      <c r="AK15" s="189"/>
      <c r="AL15" s="189"/>
      <c r="AM15" s="189"/>
      <c r="AN15" s="189"/>
      <c r="AO15" s="189"/>
      <c r="AP15" s="189"/>
      <c r="AQ15" s="189"/>
      <c r="AR15" s="7" t="s">
        <v>26</v>
      </c>
      <c r="AS15" s="7"/>
      <c r="AT15" s="189"/>
      <c r="AU15" s="189"/>
      <c r="AV15" s="7" t="s">
        <v>26</v>
      </c>
      <c r="AW15" s="7"/>
      <c r="AX15" s="7" t="s">
        <v>26</v>
      </c>
      <c r="AY15" s="7"/>
      <c r="AZ15" s="7" t="s">
        <v>174</v>
      </c>
      <c r="BA15" s="7" t="s">
        <v>26</v>
      </c>
      <c r="BB15" s="7"/>
      <c r="BC15" s="7" t="s">
        <v>26</v>
      </c>
      <c r="BD15" s="7" t="s">
        <v>26</v>
      </c>
      <c r="BE15" s="7"/>
      <c r="BF15" s="7"/>
      <c r="BG15" s="193"/>
      <c r="BH15" s="191" t="s">
        <v>26</v>
      </c>
      <c r="BI15" s="7"/>
      <c r="BJ15" s="7" t="s">
        <v>26</v>
      </c>
      <c r="BK15" s="7" t="s">
        <v>26</v>
      </c>
      <c r="BL15" s="7"/>
      <c r="BM15" s="7"/>
      <c r="BN15" s="193"/>
      <c r="BO15" s="191" t="s">
        <v>26</v>
      </c>
      <c r="BP15" s="191"/>
    </row>
    <row r="16">
      <c r="A16" s="73">
        <v>15.0</v>
      </c>
      <c r="B16" s="73" t="s">
        <v>206</v>
      </c>
      <c r="C16" s="73" t="s">
        <v>207</v>
      </c>
      <c r="D16" s="73">
        <v>1.0</v>
      </c>
      <c r="E16" s="73">
        <v>-1.0</v>
      </c>
      <c r="F16" s="73">
        <v>2.0</v>
      </c>
      <c r="G16" s="192"/>
      <c r="H16" s="73">
        <v>1.0</v>
      </c>
      <c r="I16" s="73"/>
      <c r="J16" s="77"/>
      <c r="K16" s="77"/>
      <c r="L16" s="77"/>
      <c r="M16" s="77"/>
      <c r="N16" s="77"/>
      <c r="O16" s="77"/>
      <c r="P16" s="73" t="s">
        <v>176</v>
      </c>
      <c r="Q16" s="75"/>
      <c r="R16" s="75"/>
      <c r="S16" s="187" t="str">
        <f t="shared" si="1"/>
        <v>Plantoid</v>
      </c>
      <c r="T16" s="191">
        <v>120.0</v>
      </c>
      <c r="U16" s="191">
        <v>820.0</v>
      </c>
      <c r="V16" s="189"/>
      <c r="W16" s="189"/>
      <c r="X16" s="189"/>
      <c r="Y16" s="7" t="s">
        <v>199</v>
      </c>
      <c r="Z16" s="7">
        <v>5.0</v>
      </c>
      <c r="AA16" s="7" t="s">
        <v>199</v>
      </c>
      <c r="AB16" s="7">
        <v>5.0</v>
      </c>
      <c r="AC16" s="189"/>
      <c r="AD16" s="189"/>
      <c r="AE16" s="189"/>
      <c r="AF16" s="7">
        <v>-2.0</v>
      </c>
      <c r="AG16" s="189"/>
      <c r="AH16" s="189"/>
      <c r="AI16" s="189"/>
      <c r="AJ16" s="189"/>
      <c r="AK16" s="189"/>
      <c r="AL16" s="189"/>
      <c r="AM16" s="189"/>
      <c r="AN16" s="189"/>
      <c r="AO16" s="189"/>
      <c r="AP16" s="7">
        <v>-1.0</v>
      </c>
      <c r="AQ16" s="189"/>
      <c r="AR16" s="7" t="s">
        <v>26</v>
      </c>
      <c r="AS16" s="7"/>
      <c r="AT16" s="189"/>
      <c r="AU16" s="189"/>
      <c r="AV16" s="7" t="s">
        <v>208</v>
      </c>
      <c r="AW16" s="7">
        <v>1.0</v>
      </c>
      <c r="AX16" s="7" t="s">
        <v>26</v>
      </c>
      <c r="AY16" s="7"/>
      <c r="AZ16" s="7" t="s">
        <v>26</v>
      </c>
      <c r="BA16" s="7" t="s">
        <v>26</v>
      </c>
      <c r="BB16" s="7" t="s">
        <v>209</v>
      </c>
      <c r="BC16" s="7" t="s">
        <v>179</v>
      </c>
      <c r="BD16" s="7" t="s">
        <v>26</v>
      </c>
      <c r="BE16" s="7">
        <v>2.0</v>
      </c>
      <c r="BF16" s="7">
        <v>4.0</v>
      </c>
      <c r="BG16" s="193"/>
      <c r="BH16" s="191" t="s">
        <v>210</v>
      </c>
      <c r="BI16" s="7"/>
      <c r="BJ16" s="7" t="s">
        <v>26</v>
      </c>
      <c r="BK16" s="7" t="s">
        <v>26</v>
      </c>
      <c r="BL16" s="7"/>
      <c r="BM16" s="7"/>
      <c r="BN16" s="193"/>
      <c r="BO16" s="191" t="s">
        <v>26</v>
      </c>
      <c r="BP16" s="191"/>
    </row>
    <row r="17">
      <c r="A17" s="73">
        <v>16.0</v>
      </c>
      <c r="B17" s="73" t="s">
        <v>169</v>
      </c>
      <c r="C17" s="73" t="s">
        <v>211</v>
      </c>
      <c r="D17" s="73">
        <v>1.0</v>
      </c>
      <c r="E17" s="77"/>
      <c r="F17" s="73">
        <v>1.0</v>
      </c>
      <c r="G17" s="77">
        <v>2.0</v>
      </c>
      <c r="H17" s="192"/>
      <c r="I17" s="73"/>
      <c r="J17" s="77"/>
      <c r="K17" s="77"/>
      <c r="L17" s="73">
        <v>1.0</v>
      </c>
      <c r="M17" s="77"/>
      <c r="N17" s="77"/>
      <c r="O17" s="77"/>
      <c r="P17" s="73" t="s">
        <v>171</v>
      </c>
      <c r="Q17" s="75"/>
      <c r="R17" s="75"/>
      <c r="S17" s="187" t="str">
        <f t="shared" si="1"/>
        <v>Humanoid</v>
      </c>
      <c r="T17" s="191">
        <v>25.0</v>
      </c>
      <c r="U17" s="191">
        <v>70.0</v>
      </c>
      <c r="V17" s="189"/>
      <c r="W17" s="189"/>
      <c r="X17" s="189"/>
      <c r="Y17" s="7" t="s">
        <v>26</v>
      </c>
      <c r="Z17" s="189"/>
      <c r="AA17" s="7" t="s">
        <v>26</v>
      </c>
      <c r="AB17" s="189"/>
      <c r="AC17" s="189"/>
      <c r="AD17" s="189"/>
      <c r="AE17" s="189"/>
      <c r="AF17" s="189"/>
      <c r="AG17" s="189"/>
      <c r="AH17" s="189"/>
      <c r="AI17" s="189"/>
      <c r="AJ17" s="189"/>
      <c r="AK17" s="189"/>
      <c r="AL17" s="189"/>
      <c r="AM17" s="189"/>
      <c r="AN17" s="189"/>
      <c r="AO17" s="7">
        <v>1.0</v>
      </c>
      <c r="AP17" s="189"/>
      <c r="AQ17" s="189"/>
      <c r="AR17" s="7" t="s">
        <v>26</v>
      </c>
      <c r="AS17" s="7"/>
      <c r="AT17" s="189"/>
      <c r="AU17" s="189"/>
      <c r="AV17" s="7" t="s">
        <v>214</v>
      </c>
      <c r="AW17" s="7">
        <v>1.0</v>
      </c>
      <c r="AX17" s="7" t="s">
        <v>26</v>
      </c>
      <c r="AY17" s="7"/>
      <c r="AZ17" s="7" t="s">
        <v>26</v>
      </c>
      <c r="BA17" s="7" t="s">
        <v>26</v>
      </c>
      <c r="BB17" s="7"/>
      <c r="BC17" s="7" t="s">
        <v>26</v>
      </c>
      <c r="BD17" s="7" t="s">
        <v>26</v>
      </c>
      <c r="BE17" s="7"/>
      <c r="BF17" s="7"/>
      <c r="BG17" s="193"/>
      <c r="BH17" s="191" t="s">
        <v>26</v>
      </c>
      <c r="BI17" s="7"/>
      <c r="BJ17" s="7" t="s">
        <v>26</v>
      </c>
      <c r="BK17" s="7" t="s">
        <v>26</v>
      </c>
      <c r="BL17" s="7"/>
      <c r="BM17" s="7"/>
      <c r="BN17" s="193"/>
      <c r="BO17" s="191" t="s">
        <v>26</v>
      </c>
      <c r="BP17" s="191"/>
    </row>
    <row r="18">
      <c r="A18" s="73">
        <v>17.0</v>
      </c>
      <c r="B18" s="73" t="s">
        <v>215</v>
      </c>
      <c r="C18" s="73" t="s">
        <v>216</v>
      </c>
      <c r="D18" s="73">
        <v>2.0</v>
      </c>
      <c r="E18" s="73">
        <v>-1.0</v>
      </c>
      <c r="F18" s="77"/>
      <c r="G18" s="192"/>
      <c r="H18" s="73">
        <v>1.0</v>
      </c>
      <c r="I18" s="73">
        <v>1.0</v>
      </c>
      <c r="J18" s="73"/>
      <c r="K18" s="77"/>
      <c r="L18" s="77"/>
      <c r="M18" s="73">
        <v>1.0</v>
      </c>
      <c r="N18" s="77"/>
      <c r="O18" s="77"/>
      <c r="P18" s="73" t="s">
        <v>173</v>
      </c>
      <c r="Q18" s="76" t="s">
        <v>171</v>
      </c>
      <c r="R18" s="76" t="s">
        <v>176</v>
      </c>
      <c r="S18" s="187" t="str">
        <f t="shared" si="1"/>
        <v>Crystalline</v>
      </c>
      <c r="T18" s="191">
        <v>40.0</v>
      </c>
      <c r="U18" s="191">
        <v>150.0</v>
      </c>
      <c r="V18" s="189"/>
      <c r="W18" s="189"/>
      <c r="X18" s="189"/>
      <c r="Y18" s="7" t="s">
        <v>199</v>
      </c>
      <c r="Z18" s="7">
        <v>5.0</v>
      </c>
      <c r="AA18" s="7" t="s">
        <v>26</v>
      </c>
      <c r="AB18" s="189"/>
      <c r="AC18" s="189"/>
      <c r="AD18" s="189"/>
      <c r="AE18" s="189"/>
      <c r="AF18" s="7">
        <v>-1.0</v>
      </c>
      <c r="AG18" s="189"/>
      <c r="AH18" s="189"/>
      <c r="AI18" s="189"/>
      <c r="AJ18" s="189"/>
      <c r="AK18" s="189"/>
      <c r="AL18" s="189"/>
      <c r="AM18" s="189"/>
      <c r="AN18" s="189"/>
      <c r="AO18" s="189"/>
      <c r="AP18" s="7">
        <v>-1.0</v>
      </c>
      <c r="AQ18" s="189"/>
      <c r="AR18" s="7" t="s">
        <v>217</v>
      </c>
      <c r="AS18" s="7"/>
      <c r="AT18" s="189"/>
      <c r="AU18" s="189"/>
      <c r="AV18" s="7" t="s">
        <v>218</v>
      </c>
      <c r="AW18" s="7">
        <v>1.0</v>
      </c>
      <c r="AX18" s="7" t="s">
        <v>26</v>
      </c>
      <c r="AY18" s="7"/>
      <c r="AZ18" s="7" t="s">
        <v>26</v>
      </c>
      <c r="BA18" s="7" t="s">
        <v>26</v>
      </c>
      <c r="BB18" s="7"/>
      <c r="BC18" s="7" t="s">
        <v>26</v>
      </c>
      <c r="BD18" s="7" t="s">
        <v>26</v>
      </c>
      <c r="BE18" s="7"/>
      <c r="BF18" s="7"/>
      <c r="BG18" s="193"/>
      <c r="BH18" s="191" t="s">
        <v>26</v>
      </c>
      <c r="BI18" s="7"/>
      <c r="BJ18" s="7" t="s">
        <v>26</v>
      </c>
      <c r="BK18" s="7" t="s">
        <v>26</v>
      </c>
      <c r="BL18" s="7"/>
      <c r="BM18" s="7"/>
      <c r="BN18" s="193"/>
      <c r="BO18" s="191" t="s">
        <v>26</v>
      </c>
      <c r="BP18" s="191"/>
    </row>
    <row r="19">
      <c r="A19" s="73">
        <v>18.0</v>
      </c>
      <c r="B19" s="73" t="s">
        <v>219</v>
      </c>
      <c r="C19" s="73" t="s">
        <v>220</v>
      </c>
      <c r="D19" s="73"/>
      <c r="E19" s="73">
        <v>2.0</v>
      </c>
      <c r="F19" s="73">
        <v>-1.0</v>
      </c>
      <c r="G19" s="77">
        <v>2.0</v>
      </c>
      <c r="H19" s="192"/>
      <c r="I19" s="73"/>
      <c r="J19" s="73">
        <v>-1.0</v>
      </c>
      <c r="K19" s="73"/>
      <c r="L19" s="77"/>
      <c r="M19" s="77"/>
      <c r="N19" s="77"/>
      <c r="O19" s="77"/>
      <c r="P19" s="73" t="s">
        <v>171</v>
      </c>
      <c r="Q19" s="75"/>
      <c r="R19" s="75"/>
      <c r="S19" s="187" t="str">
        <f t="shared" si="1"/>
        <v>Insectoid</v>
      </c>
      <c r="T19" s="191">
        <v>15.0</v>
      </c>
      <c r="U19" s="191">
        <v>50.0</v>
      </c>
      <c r="V19" s="189"/>
      <c r="W19" s="189"/>
      <c r="X19" s="189"/>
      <c r="Y19" s="7" t="s">
        <v>26</v>
      </c>
      <c r="Z19" s="189"/>
      <c r="AA19" s="7" t="s">
        <v>26</v>
      </c>
      <c r="AB19" s="189"/>
      <c r="AC19" s="189"/>
      <c r="AD19" s="189"/>
      <c r="AE19" s="189"/>
      <c r="AF19" s="189"/>
      <c r="AG19" s="7" t="s">
        <v>202</v>
      </c>
      <c r="AH19" s="189"/>
      <c r="AI19" s="189"/>
      <c r="AJ19" s="189"/>
      <c r="AK19" s="189"/>
      <c r="AL19" s="189"/>
      <c r="AM19" s="189"/>
      <c r="AN19" s="189"/>
      <c r="AO19" s="7">
        <v>1.0</v>
      </c>
      <c r="AP19" s="189"/>
      <c r="AQ19" s="189"/>
      <c r="AR19" s="7" t="s">
        <v>26</v>
      </c>
      <c r="AS19" s="7"/>
      <c r="AT19" s="7">
        <v>-50.0</v>
      </c>
      <c r="AU19" s="189"/>
      <c r="AV19" s="7" t="s">
        <v>26</v>
      </c>
      <c r="AW19" s="7"/>
      <c r="AX19" s="7" t="s">
        <v>26</v>
      </c>
      <c r="AY19" s="7"/>
      <c r="AZ19" s="7" t="s">
        <v>26</v>
      </c>
      <c r="BA19" s="7" t="s">
        <v>26</v>
      </c>
      <c r="BB19" s="7" t="s">
        <v>221</v>
      </c>
      <c r="BC19" s="7" t="s">
        <v>217</v>
      </c>
      <c r="BD19" s="7" t="s">
        <v>174</v>
      </c>
      <c r="BE19" s="7">
        <v>2.0</v>
      </c>
      <c r="BF19" s="7">
        <v>1.0</v>
      </c>
      <c r="BG19" s="193"/>
      <c r="BH19" s="191" t="s">
        <v>210</v>
      </c>
      <c r="BI19" s="7"/>
      <c r="BJ19" s="7" t="s">
        <v>26</v>
      </c>
      <c r="BK19" s="7" t="s">
        <v>26</v>
      </c>
      <c r="BL19" s="7"/>
      <c r="BM19" s="7"/>
      <c r="BN19" s="193"/>
      <c r="BO19" s="191" t="s">
        <v>26</v>
      </c>
      <c r="BP19" s="191"/>
    </row>
    <row r="20">
      <c r="A20" s="73">
        <v>19.0</v>
      </c>
      <c r="B20" s="73" t="s">
        <v>169</v>
      </c>
      <c r="C20" s="73" t="s">
        <v>227</v>
      </c>
      <c r="D20" s="73"/>
      <c r="E20" s="73"/>
      <c r="F20" s="77"/>
      <c r="G20" s="192">
        <v>2.0</v>
      </c>
      <c r="H20" s="73"/>
      <c r="I20" s="77"/>
      <c r="J20" s="73">
        <v>2.0</v>
      </c>
      <c r="K20" s="73"/>
      <c r="L20" s="73"/>
      <c r="M20" s="73">
        <v>1.0</v>
      </c>
      <c r="N20" s="77"/>
      <c r="O20" s="77"/>
      <c r="P20" s="73" t="s">
        <v>171</v>
      </c>
      <c r="Q20" s="75"/>
      <c r="R20" s="75"/>
      <c r="S20" s="187" t="str">
        <f t="shared" si="1"/>
        <v>Humanoid</v>
      </c>
      <c r="T20" s="191">
        <v>25.0</v>
      </c>
      <c r="U20" s="191">
        <v>75.0</v>
      </c>
      <c r="V20" s="189"/>
      <c r="W20" s="189"/>
      <c r="X20" s="189"/>
      <c r="Y20" s="7" t="s">
        <v>26</v>
      </c>
      <c r="Z20" s="189"/>
      <c r="AA20" s="7" t="s">
        <v>26</v>
      </c>
      <c r="AB20" s="189"/>
      <c r="AC20" s="189"/>
      <c r="AD20" s="189"/>
      <c r="AE20" s="189"/>
      <c r="AF20" s="189"/>
      <c r="AG20" s="189"/>
      <c r="AH20" s="189"/>
      <c r="AI20" s="189"/>
      <c r="AJ20" s="189"/>
      <c r="AK20" s="189"/>
      <c r="AL20" s="189"/>
      <c r="AM20" s="189"/>
      <c r="AN20" s="189"/>
      <c r="AO20" s="189"/>
      <c r="AP20" s="189"/>
      <c r="AQ20" s="189"/>
      <c r="AR20" s="7" t="s">
        <v>26</v>
      </c>
      <c r="AS20" s="7"/>
      <c r="AT20" s="189"/>
      <c r="AU20" s="189"/>
      <c r="AV20" s="7" t="s">
        <v>26</v>
      </c>
      <c r="AW20" s="7"/>
      <c r="AX20" s="7" t="s">
        <v>26</v>
      </c>
      <c r="AY20" s="7"/>
      <c r="AZ20" s="7" t="s">
        <v>26</v>
      </c>
      <c r="BA20" s="7" t="s">
        <v>26</v>
      </c>
      <c r="BB20" s="7" t="s">
        <v>228</v>
      </c>
      <c r="BC20" s="7" t="s">
        <v>229</v>
      </c>
      <c r="BD20" s="7" t="s">
        <v>26</v>
      </c>
      <c r="BE20" s="7">
        <v>1.0</v>
      </c>
      <c r="BF20" s="7">
        <v>1.0</v>
      </c>
      <c r="BG20" s="193" t="s">
        <v>230</v>
      </c>
      <c r="BH20" s="191" t="s">
        <v>210</v>
      </c>
      <c r="BI20" s="7"/>
      <c r="BJ20" s="7" t="s">
        <v>26</v>
      </c>
      <c r="BK20" s="7" t="s">
        <v>26</v>
      </c>
      <c r="BL20" s="7"/>
      <c r="BM20" s="7"/>
      <c r="BN20" s="193"/>
      <c r="BO20" s="191" t="s">
        <v>26</v>
      </c>
      <c r="BP20" s="191"/>
    </row>
    <row r="21">
      <c r="A21" s="73">
        <v>20.0</v>
      </c>
      <c r="B21" s="73" t="s">
        <v>169</v>
      </c>
      <c r="C21" s="73" t="s">
        <v>231</v>
      </c>
      <c r="D21" s="77"/>
      <c r="E21" s="73">
        <v>2.0</v>
      </c>
      <c r="F21" s="77"/>
      <c r="G21" s="192">
        <v>2.0</v>
      </c>
      <c r="H21" s="73">
        <v>-1.0</v>
      </c>
      <c r="I21" s="77"/>
      <c r="J21" s="77"/>
      <c r="K21" s="73">
        <v>1.0</v>
      </c>
      <c r="L21" s="77"/>
      <c r="M21" s="77"/>
      <c r="N21" s="77"/>
      <c r="O21" s="77"/>
      <c r="P21" s="73" t="s">
        <v>171</v>
      </c>
      <c r="Q21" s="75"/>
      <c r="R21" s="75"/>
      <c r="S21" s="187" t="str">
        <f t="shared" si="1"/>
        <v>Humanoid</v>
      </c>
      <c r="T21" s="191">
        <v>12.0</v>
      </c>
      <c r="U21" s="191">
        <v>40.0</v>
      </c>
      <c r="V21" s="189"/>
      <c r="W21" s="189"/>
      <c r="X21" s="189"/>
      <c r="Y21" s="7" t="s">
        <v>26</v>
      </c>
      <c r="Z21" s="189"/>
      <c r="AA21" s="7" t="s">
        <v>26</v>
      </c>
      <c r="AB21" s="189"/>
      <c r="AC21" s="7">
        <v>4.0</v>
      </c>
      <c r="AD21" s="7">
        <v>4.0</v>
      </c>
      <c r="AE21" s="7">
        <v>-4.0</v>
      </c>
      <c r="AF21" s="189"/>
      <c r="AG21" s="189"/>
      <c r="AH21" s="189"/>
      <c r="AI21" s="189"/>
      <c r="AJ21" s="189"/>
      <c r="AK21" s="189"/>
      <c r="AL21" s="189"/>
      <c r="AM21" s="189"/>
      <c r="AN21" s="7">
        <v>1.0</v>
      </c>
      <c r="AO21" s="189"/>
      <c r="AP21" s="189"/>
      <c r="AQ21" s="189"/>
      <c r="AR21" s="7" t="s">
        <v>26</v>
      </c>
      <c r="AS21" s="7"/>
      <c r="AT21" s="189"/>
      <c r="AU21" s="189"/>
      <c r="AV21" s="7" t="s">
        <v>26</v>
      </c>
      <c r="AW21" s="7"/>
      <c r="AX21" s="7" t="s">
        <v>26</v>
      </c>
      <c r="AY21" s="7"/>
      <c r="AZ21" s="7" t="s">
        <v>26</v>
      </c>
      <c r="BA21" s="7" t="s">
        <v>26</v>
      </c>
      <c r="BB21" s="7"/>
      <c r="BC21" s="7" t="s">
        <v>26</v>
      </c>
      <c r="BD21" s="7" t="s">
        <v>26</v>
      </c>
      <c r="BE21" s="7"/>
      <c r="BF21" s="7"/>
      <c r="BG21" s="193"/>
      <c r="BH21" s="191" t="s">
        <v>26</v>
      </c>
      <c r="BI21" s="7"/>
      <c r="BJ21" s="7" t="s">
        <v>26</v>
      </c>
      <c r="BK21" s="7" t="s">
        <v>26</v>
      </c>
      <c r="BL21" s="7"/>
      <c r="BM21" s="7"/>
      <c r="BN21" s="193"/>
      <c r="BO21" s="191" t="s">
        <v>26</v>
      </c>
      <c r="BP21" s="191"/>
    </row>
    <row r="22">
      <c r="A22" s="73">
        <v>21.0</v>
      </c>
      <c r="B22" s="73" t="s">
        <v>215</v>
      </c>
      <c r="C22" s="73" t="s">
        <v>232</v>
      </c>
      <c r="D22" s="73">
        <v>-1.0</v>
      </c>
      <c r="E22" s="73"/>
      <c r="F22" s="77"/>
      <c r="G22" s="192"/>
      <c r="H22" s="73">
        <v>2.0</v>
      </c>
      <c r="I22" s="73">
        <v>2.0</v>
      </c>
      <c r="J22" s="73"/>
      <c r="K22" s="77"/>
      <c r="L22" s="77"/>
      <c r="M22" s="73">
        <v>3.0</v>
      </c>
      <c r="N22" s="77"/>
      <c r="O22" s="77"/>
      <c r="P22" s="73" t="s">
        <v>176</v>
      </c>
      <c r="Q22" s="76"/>
      <c r="R22" s="75"/>
      <c r="S22" s="187" t="str">
        <f t="shared" si="1"/>
        <v>Crystalline</v>
      </c>
      <c r="T22" s="191">
        <v>26.0</v>
      </c>
      <c r="U22" s="191">
        <v>60.0</v>
      </c>
      <c r="V22" s="189"/>
      <c r="W22" s="189"/>
      <c r="X22" s="189"/>
      <c r="Y22" s="7" t="s">
        <v>199</v>
      </c>
      <c r="Z22" s="7">
        <v>5.0</v>
      </c>
      <c r="AA22" s="7" t="s">
        <v>26</v>
      </c>
      <c r="AB22" s="189"/>
      <c r="AC22" s="189"/>
      <c r="AD22" s="189"/>
      <c r="AE22" s="189"/>
      <c r="AF22" s="189"/>
      <c r="AG22" s="189"/>
      <c r="AH22" s="189"/>
      <c r="AI22" s="189"/>
      <c r="AJ22" s="189"/>
      <c r="AK22" s="189"/>
      <c r="AL22" s="189"/>
      <c r="AM22" s="189"/>
      <c r="AN22" s="189"/>
      <c r="AO22" s="189"/>
      <c r="AP22" s="7">
        <v>-1.0</v>
      </c>
      <c r="AQ22" s="189"/>
      <c r="AR22" s="7" t="s">
        <v>26</v>
      </c>
      <c r="AS22" s="7"/>
      <c r="AT22" s="189"/>
      <c r="AU22" s="189"/>
      <c r="AV22" s="7" t="s">
        <v>218</v>
      </c>
      <c r="AW22" s="7">
        <v>1.0</v>
      </c>
      <c r="AX22" s="7" t="s">
        <v>26</v>
      </c>
      <c r="AY22" s="7"/>
      <c r="AZ22" s="7" t="s">
        <v>26</v>
      </c>
      <c r="BA22" s="7" t="s">
        <v>26</v>
      </c>
      <c r="BB22" s="7"/>
      <c r="BC22" s="7" t="s">
        <v>26</v>
      </c>
      <c r="BD22" s="7" t="s">
        <v>26</v>
      </c>
      <c r="BE22" s="7"/>
      <c r="BF22" s="7"/>
      <c r="BG22" s="193"/>
      <c r="BH22" s="191" t="s">
        <v>26</v>
      </c>
      <c r="BI22" s="7"/>
      <c r="BJ22" s="7" t="s">
        <v>26</v>
      </c>
      <c r="BK22" s="7" t="s">
        <v>26</v>
      </c>
      <c r="BL22" s="7"/>
      <c r="BM22" s="7"/>
      <c r="BN22" s="193"/>
      <c r="BO22" s="191" t="s">
        <v>26</v>
      </c>
      <c r="BP22" s="191"/>
    </row>
    <row r="23">
      <c r="A23" s="73">
        <v>22.0</v>
      </c>
      <c r="B23" s="73" t="s">
        <v>215</v>
      </c>
      <c r="C23" s="73" t="s">
        <v>233</v>
      </c>
      <c r="D23" s="73">
        <v>-1.0</v>
      </c>
      <c r="E23" s="73"/>
      <c r="F23" s="77"/>
      <c r="G23" s="192"/>
      <c r="H23" s="73">
        <v>2.0</v>
      </c>
      <c r="I23" s="73">
        <v>2.0</v>
      </c>
      <c r="J23" s="73"/>
      <c r="K23" s="77"/>
      <c r="L23" s="77"/>
      <c r="M23" s="73">
        <v>3.0</v>
      </c>
      <c r="N23" s="73"/>
      <c r="O23" s="73"/>
      <c r="P23" s="73" t="s">
        <v>176</v>
      </c>
      <c r="Q23" s="75"/>
      <c r="R23" s="75"/>
      <c r="S23" s="187" t="str">
        <f t="shared" si="1"/>
        <v>Crystalline</v>
      </c>
      <c r="T23" s="191">
        <v>26.0</v>
      </c>
      <c r="U23" s="191">
        <v>60.0</v>
      </c>
      <c r="V23" s="189"/>
      <c r="W23" s="189"/>
      <c r="X23" s="189"/>
      <c r="Y23" s="7" t="s">
        <v>199</v>
      </c>
      <c r="Z23" s="7">
        <v>7.0</v>
      </c>
      <c r="AA23" s="7" t="s">
        <v>26</v>
      </c>
      <c r="AB23" s="189"/>
      <c r="AC23" s="189"/>
      <c r="AD23" s="189"/>
      <c r="AE23" s="189"/>
      <c r="AF23" s="7">
        <v>-1.0</v>
      </c>
      <c r="AG23" s="189"/>
      <c r="AH23" s="189"/>
      <c r="AI23" s="189"/>
      <c r="AJ23" s="189"/>
      <c r="AK23" s="189"/>
      <c r="AL23" s="189"/>
      <c r="AM23" s="189"/>
      <c r="AN23" s="189"/>
      <c r="AO23" s="189"/>
      <c r="AP23" s="189"/>
      <c r="AQ23" s="189"/>
      <c r="AR23" s="7" t="s">
        <v>26</v>
      </c>
      <c r="AS23" s="7"/>
      <c r="AT23" s="7"/>
      <c r="AU23" s="189"/>
      <c r="AV23" s="7" t="s">
        <v>185</v>
      </c>
      <c r="AW23" s="7">
        <v>1.0</v>
      </c>
      <c r="AX23" s="7" t="s">
        <v>26</v>
      </c>
      <c r="AY23" s="7"/>
      <c r="AZ23" s="7" t="s">
        <v>26</v>
      </c>
      <c r="BA23" s="7" t="s">
        <v>26</v>
      </c>
      <c r="BB23" s="7"/>
      <c r="BC23" s="7" t="s">
        <v>26</v>
      </c>
      <c r="BD23" s="7" t="s">
        <v>26</v>
      </c>
      <c r="BE23" s="7"/>
      <c r="BF23" s="7"/>
      <c r="BG23" s="193"/>
      <c r="BH23" s="191" t="s">
        <v>26</v>
      </c>
      <c r="BI23" s="7"/>
      <c r="BJ23" s="7" t="s">
        <v>26</v>
      </c>
      <c r="BK23" s="7" t="s">
        <v>26</v>
      </c>
      <c r="BL23" s="7"/>
      <c r="BM23" s="7"/>
      <c r="BN23" s="193"/>
      <c r="BO23" s="191" t="s">
        <v>26</v>
      </c>
      <c r="BP23" s="191"/>
    </row>
    <row r="24">
      <c r="A24" s="73">
        <v>23.0</v>
      </c>
      <c r="B24" s="73" t="s">
        <v>215</v>
      </c>
      <c r="C24" s="73" t="s">
        <v>236</v>
      </c>
      <c r="D24" s="73">
        <v>-1.0</v>
      </c>
      <c r="E24" s="73"/>
      <c r="F24" s="77"/>
      <c r="G24" s="192"/>
      <c r="H24" s="73">
        <v>2.0</v>
      </c>
      <c r="I24" s="73">
        <v>2.0</v>
      </c>
      <c r="J24" s="73"/>
      <c r="K24" s="77"/>
      <c r="L24" s="77"/>
      <c r="M24" s="73">
        <v>3.0</v>
      </c>
      <c r="N24" s="77"/>
      <c r="O24" s="77"/>
      <c r="P24" s="73" t="s">
        <v>176</v>
      </c>
      <c r="Q24" s="76"/>
      <c r="R24" s="75"/>
      <c r="S24" s="187" t="str">
        <f t="shared" si="1"/>
        <v>Crystalline</v>
      </c>
      <c r="T24" s="191">
        <v>26.0</v>
      </c>
      <c r="U24" s="191">
        <v>60.0</v>
      </c>
      <c r="V24" s="189"/>
      <c r="W24" s="189"/>
      <c r="X24" s="189"/>
      <c r="Y24" s="7" t="s">
        <v>26</v>
      </c>
      <c r="Z24" s="189"/>
      <c r="AA24" s="7" t="s">
        <v>26</v>
      </c>
      <c r="AB24" s="189"/>
      <c r="AC24" s="189"/>
      <c r="AD24" s="189"/>
      <c r="AE24" s="189"/>
      <c r="AF24" s="189"/>
      <c r="AG24" s="189"/>
      <c r="AH24" s="189"/>
      <c r="AI24" s="189"/>
      <c r="AJ24" s="189"/>
      <c r="AK24" s="189"/>
      <c r="AL24" s="189"/>
      <c r="AM24" s="189"/>
      <c r="AN24" s="189"/>
      <c r="AO24" s="189"/>
      <c r="AP24" s="189"/>
      <c r="AQ24" s="189"/>
      <c r="AR24" s="7" t="s">
        <v>26</v>
      </c>
      <c r="AS24" s="7"/>
      <c r="AT24" s="189"/>
      <c r="AU24" s="189"/>
      <c r="AV24" s="7" t="s">
        <v>218</v>
      </c>
      <c r="AW24" s="7">
        <v>1.0</v>
      </c>
      <c r="AX24" s="7" t="s">
        <v>26</v>
      </c>
      <c r="AY24" s="7"/>
      <c r="AZ24" s="7" t="s">
        <v>26</v>
      </c>
      <c r="BA24" s="7" t="s">
        <v>26</v>
      </c>
      <c r="BB24" s="7"/>
      <c r="BC24" s="7" t="s">
        <v>26</v>
      </c>
      <c r="BD24" s="7" t="s">
        <v>26</v>
      </c>
      <c r="BE24" s="7"/>
      <c r="BF24" s="7"/>
      <c r="BG24" s="193"/>
      <c r="BH24" s="191" t="s">
        <v>26</v>
      </c>
      <c r="BI24" s="7"/>
      <c r="BJ24" s="7" t="s">
        <v>26</v>
      </c>
      <c r="BK24" s="7" t="s">
        <v>26</v>
      </c>
      <c r="BL24" s="7"/>
      <c r="BM24" s="7"/>
      <c r="BN24" s="193"/>
      <c r="BO24" s="191" t="s">
        <v>26</v>
      </c>
      <c r="BP24" s="191"/>
    </row>
    <row r="25">
      <c r="A25" s="73">
        <v>24.0</v>
      </c>
      <c r="B25" s="73" t="s">
        <v>169</v>
      </c>
      <c r="C25" s="73" t="s">
        <v>238</v>
      </c>
      <c r="D25" s="73">
        <v>1.0</v>
      </c>
      <c r="E25" s="73">
        <v>1.0</v>
      </c>
      <c r="F25" s="73">
        <v>1.0</v>
      </c>
      <c r="G25" s="192">
        <v>1.0</v>
      </c>
      <c r="H25" s="73">
        <v>1.0</v>
      </c>
      <c r="I25" s="73">
        <v>1.0</v>
      </c>
      <c r="J25" s="77"/>
      <c r="K25" s="77"/>
      <c r="L25" s="77"/>
      <c r="M25" s="77"/>
      <c r="N25" s="77"/>
      <c r="O25" s="77"/>
      <c r="P25" s="73" t="s">
        <v>171</v>
      </c>
      <c r="Q25" s="75"/>
      <c r="R25" s="75"/>
      <c r="S25" s="187" t="str">
        <f t="shared" si="1"/>
        <v>Humanoid</v>
      </c>
      <c r="T25" s="191">
        <v>52.0</v>
      </c>
      <c r="U25" s="191">
        <v>120.0</v>
      </c>
      <c r="V25" s="189"/>
      <c r="W25" s="189"/>
      <c r="X25" s="189"/>
      <c r="Y25" s="7" t="s">
        <v>26</v>
      </c>
      <c r="Z25" s="189"/>
      <c r="AA25" s="7" t="s">
        <v>26</v>
      </c>
      <c r="AB25" s="189"/>
      <c r="AC25" s="189"/>
      <c r="AD25" s="189"/>
      <c r="AE25" s="189"/>
      <c r="AF25" s="189"/>
      <c r="AG25" s="189"/>
      <c r="AH25" s="189"/>
      <c r="AI25" s="189"/>
      <c r="AJ25" s="189"/>
      <c r="AK25" s="189"/>
      <c r="AL25" s="189"/>
      <c r="AM25" s="189"/>
      <c r="AN25" s="189"/>
      <c r="AO25" s="189"/>
      <c r="AP25" s="189"/>
      <c r="AQ25" s="189"/>
      <c r="AR25" s="7" t="s">
        <v>26</v>
      </c>
      <c r="AS25" s="7"/>
      <c r="AT25" s="189"/>
      <c r="AU25" s="189"/>
      <c r="AV25" s="7" t="s">
        <v>26</v>
      </c>
      <c r="AW25" s="7"/>
      <c r="AX25" s="7" t="s">
        <v>26</v>
      </c>
      <c r="AY25" s="7"/>
      <c r="AZ25" s="7" t="s">
        <v>26</v>
      </c>
      <c r="BA25" s="7" t="s">
        <v>26</v>
      </c>
      <c r="BB25" s="7"/>
      <c r="BC25" s="7" t="s">
        <v>26</v>
      </c>
      <c r="BD25" s="7" t="s">
        <v>26</v>
      </c>
      <c r="BE25" s="7"/>
      <c r="BF25" s="7"/>
      <c r="BG25" s="193"/>
      <c r="BH25" s="191" t="s">
        <v>26</v>
      </c>
      <c r="BI25" s="7"/>
      <c r="BJ25" s="7" t="s">
        <v>26</v>
      </c>
      <c r="BK25" s="7" t="s">
        <v>26</v>
      </c>
      <c r="BL25" s="7"/>
      <c r="BM25" s="7"/>
      <c r="BN25" s="193"/>
      <c r="BO25" s="191" t="s">
        <v>26</v>
      </c>
      <c r="BP25" s="191"/>
    </row>
    <row r="26">
      <c r="A26" s="73">
        <v>25.0</v>
      </c>
      <c r="B26" s="7" t="s">
        <v>169</v>
      </c>
      <c r="C26" s="73" t="s">
        <v>239</v>
      </c>
      <c r="D26" s="77"/>
      <c r="E26" s="73">
        <v>2.0</v>
      </c>
      <c r="F26" s="77"/>
      <c r="G26" s="77">
        <v>2.0</v>
      </c>
      <c r="H26" s="192"/>
      <c r="I26" s="77"/>
      <c r="J26" s="77"/>
      <c r="K26" s="73">
        <v>1.0</v>
      </c>
      <c r="L26" s="77"/>
      <c r="M26" s="77"/>
      <c r="N26" s="77"/>
      <c r="O26" s="77"/>
      <c r="P26" s="73" t="s">
        <v>171</v>
      </c>
      <c r="Q26" s="77"/>
      <c r="R26" s="77"/>
      <c r="S26" s="187" t="str">
        <f t="shared" si="1"/>
        <v>Humanoid</v>
      </c>
      <c r="T26" s="191">
        <v>26.0</v>
      </c>
      <c r="U26" s="191">
        <v>60.0</v>
      </c>
      <c r="V26" s="189"/>
      <c r="W26" s="189"/>
      <c r="X26" s="189"/>
      <c r="Y26" s="7" t="s">
        <v>26</v>
      </c>
      <c r="Z26" s="189"/>
      <c r="AA26" s="7" t="s">
        <v>26</v>
      </c>
      <c r="AB26" s="189"/>
      <c r="AC26" s="189"/>
      <c r="AD26" s="7">
        <v>2.0</v>
      </c>
      <c r="AE26" s="189"/>
      <c r="AF26" s="189"/>
      <c r="AG26" s="189"/>
      <c r="AH26" s="189"/>
      <c r="AI26" s="7"/>
      <c r="AJ26" s="7" t="s">
        <v>202</v>
      </c>
      <c r="AK26" s="7" t="s">
        <v>202</v>
      </c>
      <c r="AL26" s="189"/>
      <c r="AM26" s="189"/>
      <c r="AN26" s="189"/>
      <c r="AO26" s="189"/>
      <c r="AP26" s="189"/>
      <c r="AQ26" s="189"/>
      <c r="AR26" s="7" t="s">
        <v>26</v>
      </c>
      <c r="AS26" s="7"/>
      <c r="AT26" s="189"/>
      <c r="AU26" s="189"/>
      <c r="AV26" s="7" t="s">
        <v>26</v>
      </c>
      <c r="AW26" s="7"/>
      <c r="AX26" s="7" t="s">
        <v>26</v>
      </c>
      <c r="AY26" s="7"/>
      <c r="AZ26" s="7" t="s">
        <v>26</v>
      </c>
      <c r="BA26" s="7" t="s">
        <v>26</v>
      </c>
      <c r="BB26" s="7"/>
      <c r="BC26" s="7" t="s">
        <v>26</v>
      </c>
      <c r="BD26" s="7" t="s">
        <v>26</v>
      </c>
      <c r="BE26" s="7"/>
      <c r="BF26" s="7"/>
      <c r="BG26" s="193"/>
      <c r="BH26" s="191" t="s">
        <v>26</v>
      </c>
      <c r="BI26" s="7"/>
      <c r="BJ26" s="7" t="s">
        <v>26</v>
      </c>
      <c r="BK26" s="7" t="s">
        <v>26</v>
      </c>
      <c r="BL26" s="7"/>
      <c r="BM26" s="7"/>
      <c r="BN26" s="193"/>
      <c r="BO26" s="191" t="s">
        <v>26</v>
      </c>
      <c r="BP26" s="191"/>
    </row>
    <row r="27">
      <c r="A27" s="73">
        <v>26.0</v>
      </c>
      <c r="B27" s="7" t="s">
        <v>169</v>
      </c>
      <c r="C27" s="73" t="s">
        <v>242</v>
      </c>
      <c r="D27" s="73">
        <v>1.0</v>
      </c>
      <c r="E27" s="77"/>
      <c r="F27" s="73">
        <v>2.0</v>
      </c>
      <c r="G27" s="192"/>
      <c r="H27" s="206">
        <v>1.0</v>
      </c>
      <c r="I27" s="77"/>
      <c r="J27" s="77"/>
      <c r="K27" s="77"/>
      <c r="L27" s="77"/>
      <c r="M27" s="77"/>
      <c r="N27" s="77"/>
      <c r="O27" s="77"/>
      <c r="P27" s="73" t="s">
        <v>171</v>
      </c>
      <c r="Q27" s="77"/>
      <c r="R27" s="77"/>
      <c r="S27" s="187" t="str">
        <f t="shared" si="1"/>
        <v>Humanoid</v>
      </c>
      <c r="T27" s="191">
        <v>26.0</v>
      </c>
      <c r="U27" s="191">
        <v>60.0</v>
      </c>
      <c r="V27" s="7"/>
      <c r="W27" s="189"/>
      <c r="X27" s="189"/>
      <c r="Y27" s="7" t="s">
        <v>199</v>
      </c>
      <c r="Z27" s="7">
        <v>3.0</v>
      </c>
      <c r="AA27" s="7" t="s">
        <v>26</v>
      </c>
      <c r="AB27" s="189"/>
      <c r="AC27" s="189"/>
      <c r="AD27" s="189"/>
      <c r="AE27" s="7">
        <v>2.0</v>
      </c>
      <c r="AF27" s="189"/>
      <c r="AG27" s="189"/>
      <c r="AH27" s="189"/>
      <c r="AI27" s="7" t="s">
        <v>202</v>
      </c>
      <c r="AJ27" s="189"/>
      <c r="AK27" s="189"/>
      <c r="AL27" s="189"/>
      <c r="AM27" s="208">
        <v>7.0</v>
      </c>
      <c r="AN27" s="189"/>
      <c r="AO27" s="189"/>
      <c r="AP27" s="189"/>
      <c r="AQ27" s="189"/>
      <c r="AR27" s="7" t="s">
        <v>26</v>
      </c>
      <c r="AS27" s="7"/>
      <c r="AT27" s="189"/>
      <c r="AU27" s="189"/>
      <c r="AV27" s="7" t="s">
        <v>26</v>
      </c>
      <c r="AW27" s="7"/>
      <c r="AX27" s="7" t="s">
        <v>26</v>
      </c>
      <c r="AY27" s="7"/>
      <c r="AZ27" s="7" t="s">
        <v>26</v>
      </c>
      <c r="BA27" s="7" t="s">
        <v>26</v>
      </c>
      <c r="BB27" s="7"/>
      <c r="BC27" s="7" t="s">
        <v>26</v>
      </c>
      <c r="BD27" s="7" t="s">
        <v>26</v>
      </c>
      <c r="BE27" s="7"/>
      <c r="BF27" s="7"/>
      <c r="BG27" s="193"/>
      <c r="BH27" s="191" t="s">
        <v>26</v>
      </c>
      <c r="BI27" s="7"/>
      <c r="BJ27" s="7" t="s">
        <v>26</v>
      </c>
      <c r="BK27" s="7" t="s">
        <v>26</v>
      </c>
      <c r="BL27" s="7"/>
      <c r="BM27" s="7"/>
      <c r="BN27" s="193"/>
      <c r="BO27" s="191" t="s">
        <v>26</v>
      </c>
      <c r="BP27" s="191"/>
    </row>
    <row r="28">
      <c r="A28" s="73">
        <v>27.0</v>
      </c>
      <c r="B28" s="211" t="s">
        <v>169</v>
      </c>
      <c r="C28" s="199" t="s">
        <v>244</v>
      </c>
      <c r="D28" s="77"/>
      <c r="E28" s="77"/>
      <c r="F28" s="77"/>
      <c r="G28" s="192">
        <v>2.0</v>
      </c>
      <c r="H28" s="73">
        <v>2.0</v>
      </c>
      <c r="I28" s="77"/>
      <c r="J28" s="73">
        <v>-1.0</v>
      </c>
      <c r="K28" s="77"/>
      <c r="L28" s="77"/>
      <c r="M28" s="73">
        <v>2.0</v>
      </c>
      <c r="N28" s="77"/>
      <c r="O28" s="77"/>
      <c r="P28" s="73" t="s">
        <v>171</v>
      </c>
      <c r="Q28" s="77"/>
      <c r="R28" s="77"/>
      <c r="S28" s="187" t="str">
        <f t="shared" si="1"/>
        <v>Humanoid</v>
      </c>
      <c r="T28" s="191">
        <v>26.0</v>
      </c>
      <c r="U28" s="191">
        <v>60.0</v>
      </c>
      <c r="V28" s="189"/>
      <c r="W28" s="189"/>
      <c r="X28" s="189"/>
      <c r="Y28" s="7" t="s">
        <v>26</v>
      </c>
      <c r="Z28" s="189"/>
      <c r="AA28" s="7" t="s">
        <v>26</v>
      </c>
      <c r="AB28" s="189"/>
      <c r="AC28" s="189"/>
      <c r="AD28" s="189"/>
      <c r="AE28" s="7">
        <v>4.0</v>
      </c>
      <c r="AF28" s="189"/>
      <c r="AG28" s="189"/>
      <c r="AH28" s="189"/>
      <c r="AI28" s="189"/>
      <c r="AJ28" s="189"/>
      <c r="AK28" s="189"/>
      <c r="AL28" s="189"/>
      <c r="AM28" s="189"/>
      <c r="AN28" s="189"/>
      <c r="AO28" s="189"/>
      <c r="AP28" s="189"/>
      <c r="AQ28" s="189"/>
      <c r="AR28" s="7" t="s">
        <v>26</v>
      </c>
      <c r="AS28" s="7"/>
      <c r="AT28" s="189"/>
      <c r="AU28" s="189"/>
      <c r="AV28" s="7" t="s">
        <v>26</v>
      </c>
      <c r="AW28" s="7"/>
      <c r="AX28" s="7" t="s">
        <v>26</v>
      </c>
      <c r="AY28" s="7"/>
      <c r="AZ28" s="7" t="s">
        <v>26</v>
      </c>
      <c r="BA28" s="7" t="s">
        <v>26</v>
      </c>
      <c r="BB28" s="7"/>
      <c r="BC28" s="7" t="s">
        <v>26</v>
      </c>
      <c r="BD28" s="7" t="s">
        <v>26</v>
      </c>
      <c r="BE28" s="7"/>
      <c r="BF28" s="7"/>
      <c r="BG28" s="193"/>
      <c r="BH28" s="191" t="s">
        <v>26</v>
      </c>
      <c r="BI28" s="7"/>
      <c r="BJ28" s="7" t="s">
        <v>26</v>
      </c>
      <c r="BK28" s="7" t="s">
        <v>26</v>
      </c>
      <c r="BL28" s="7"/>
      <c r="BM28" s="7"/>
      <c r="BN28" s="193"/>
      <c r="BO28" s="191" t="s">
        <v>26</v>
      </c>
      <c r="BP28" s="191"/>
    </row>
    <row r="29">
      <c r="A29" s="73">
        <v>28.0</v>
      </c>
      <c r="B29" s="7" t="s">
        <v>169</v>
      </c>
      <c r="C29" s="73" t="s">
        <v>245</v>
      </c>
      <c r="D29" s="73">
        <v>2.0</v>
      </c>
      <c r="E29" s="77"/>
      <c r="F29" s="77"/>
      <c r="G29" s="192"/>
      <c r="H29" s="206">
        <v>1.0</v>
      </c>
      <c r="I29" s="77"/>
      <c r="J29" s="73">
        <v>1.0</v>
      </c>
      <c r="K29" s="77"/>
      <c r="L29" s="77"/>
      <c r="M29" s="77"/>
      <c r="N29" s="77"/>
      <c r="O29" s="77"/>
      <c r="P29" s="73" t="s">
        <v>173</v>
      </c>
      <c r="Q29" s="77"/>
      <c r="R29" s="77"/>
      <c r="S29" s="187" t="str">
        <f t="shared" si="1"/>
        <v>Humanoid</v>
      </c>
      <c r="T29" s="188"/>
      <c r="U29" s="188"/>
      <c r="V29" s="189"/>
      <c r="W29" s="189"/>
      <c r="X29" s="189"/>
      <c r="Y29" s="7" t="s">
        <v>26</v>
      </c>
      <c r="Z29" s="189"/>
      <c r="AA29" s="7" t="s">
        <v>26</v>
      </c>
      <c r="AB29" s="189"/>
      <c r="AC29" s="189"/>
      <c r="AD29" s="189"/>
      <c r="AE29" s="189"/>
      <c r="AF29" s="189"/>
      <c r="AG29" s="189"/>
      <c r="AH29" s="189"/>
      <c r="AI29" s="189"/>
      <c r="AJ29" s="189"/>
      <c r="AK29" s="189"/>
      <c r="AL29" s="189"/>
      <c r="AM29" s="189"/>
      <c r="AN29" s="189"/>
      <c r="AO29" s="189"/>
      <c r="AP29" s="189"/>
      <c r="AQ29" s="189"/>
      <c r="AR29" s="7" t="s">
        <v>26</v>
      </c>
      <c r="AS29" s="7"/>
      <c r="AT29" s="189"/>
      <c r="AU29" s="189"/>
      <c r="AV29" s="7" t="s">
        <v>26</v>
      </c>
      <c r="AW29" s="7"/>
      <c r="AX29" s="7" t="s">
        <v>26</v>
      </c>
      <c r="AY29" s="7"/>
      <c r="AZ29" s="7" t="s">
        <v>26</v>
      </c>
      <c r="BA29" s="7" t="s">
        <v>26</v>
      </c>
      <c r="BB29" s="7"/>
      <c r="BC29" s="7" t="s">
        <v>26</v>
      </c>
      <c r="BD29" s="7" t="s">
        <v>26</v>
      </c>
      <c r="BE29" s="7"/>
      <c r="BF29" s="7"/>
      <c r="BG29" s="193"/>
      <c r="BH29" s="191" t="s">
        <v>26</v>
      </c>
      <c r="BI29" s="7"/>
      <c r="BJ29" s="7" t="s">
        <v>26</v>
      </c>
      <c r="BK29" s="7" t="s">
        <v>26</v>
      </c>
      <c r="BL29" s="7"/>
      <c r="BM29" s="7"/>
      <c r="BN29" s="193"/>
      <c r="BO29" s="191" t="s">
        <v>26</v>
      </c>
      <c r="BP29" s="191"/>
    </row>
    <row r="30">
      <c r="A30" s="73">
        <v>29.0</v>
      </c>
      <c r="B30" s="7" t="s">
        <v>169</v>
      </c>
      <c r="C30" s="73" t="s">
        <v>246</v>
      </c>
      <c r="D30" s="77"/>
      <c r="E30" s="77"/>
      <c r="F30" s="77"/>
      <c r="G30" s="192"/>
      <c r="H30" s="206">
        <v>1.0</v>
      </c>
      <c r="I30" s="73">
        <v>1.0</v>
      </c>
      <c r="J30" s="73">
        <v>2.0</v>
      </c>
      <c r="K30" s="77"/>
      <c r="L30" s="77"/>
      <c r="M30" s="77"/>
      <c r="N30" s="77"/>
      <c r="O30" s="77"/>
      <c r="P30" s="73" t="s">
        <v>173</v>
      </c>
      <c r="Q30" s="77"/>
      <c r="R30" s="77"/>
      <c r="S30" s="187" t="str">
        <f t="shared" si="1"/>
        <v>Humanoid</v>
      </c>
      <c r="T30" s="188"/>
      <c r="U30" s="188"/>
      <c r="V30" s="189"/>
      <c r="W30" s="189"/>
      <c r="X30" s="189"/>
      <c r="Y30" s="7" t="s">
        <v>26</v>
      </c>
      <c r="Z30" s="189"/>
      <c r="AA30" s="7" t="s">
        <v>26</v>
      </c>
      <c r="AB30" s="189"/>
      <c r="AC30" s="189"/>
      <c r="AD30" s="189"/>
      <c r="AE30" s="189"/>
      <c r="AF30" s="189"/>
      <c r="AG30" s="189"/>
      <c r="AH30" s="189"/>
      <c r="AI30" s="189"/>
      <c r="AJ30" s="189"/>
      <c r="AK30" s="189"/>
      <c r="AL30" s="189"/>
      <c r="AM30" s="189"/>
      <c r="AN30" s="189"/>
      <c r="AO30" s="189"/>
      <c r="AP30" s="189"/>
      <c r="AQ30" s="189"/>
      <c r="AR30" s="7" t="s">
        <v>26</v>
      </c>
      <c r="AS30" s="7"/>
      <c r="AT30" s="189"/>
      <c r="AU30" s="189"/>
      <c r="AV30" s="7" t="s">
        <v>26</v>
      </c>
      <c r="AW30" s="7"/>
      <c r="AX30" s="7" t="s">
        <v>26</v>
      </c>
      <c r="AY30" s="7"/>
      <c r="AZ30" s="7" t="s">
        <v>26</v>
      </c>
      <c r="BA30" s="7" t="s">
        <v>26</v>
      </c>
      <c r="BB30" s="7"/>
      <c r="BC30" s="7" t="s">
        <v>26</v>
      </c>
      <c r="BD30" s="7" t="s">
        <v>26</v>
      </c>
      <c r="BE30" s="7"/>
      <c r="BF30" s="7"/>
      <c r="BG30" s="193"/>
      <c r="BH30" s="191" t="s">
        <v>26</v>
      </c>
      <c r="BI30" s="7"/>
      <c r="BJ30" s="7" t="s">
        <v>26</v>
      </c>
      <c r="BK30" s="7" t="s">
        <v>26</v>
      </c>
      <c r="BL30" s="7"/>
      <c r="BM30" s="7"/>
      <c r="BN30" s="193"/>
      <c r="BO30" s="191" t="s">
        <v>26</v>
      </c>
      <c r="BP30" s="191"/>
    </row>
    <row r="31">
      <c r="A31" s="73">
        <v>30.0</v>
      </c>
      <c r="B31" s="7" t="s">
        <v>169</v>
      </c>
      <c r="C31" s="73" t="s">
        <v>247</v>
      </c>
      <c r="D31" s="77"/>
      <c r="E31" s="77"/>
      <c r="F31" s="77"/>
      <c r="G31" s="77">
        <v>2.0</v>
      </c>
      <c r="H31" s="192"/>
      <c r="I31" s="73">
        <v>2.0</v>
      </c>
      <c r="J31" s="77"/>
      <c r="K31" s="77"/>
      <c r="L31" s="77"/>
      <c r="M31" s="77"/>
      <c r="N31" s="77"/>
      <c r="O31" s="77"/>
      <c r="P31" s="73" t="s">
        <v>173</v>
      </c>
      <c r="Q31" s="77"/>
      <c r="R31" s="77"/>
      <c r="S31" s="187" t="str">
        <f t="shared" si="1"/>
        <v>Humanoid</v>
      </c>
      <c r="T31" s="188"/>
      <c r="U31" s="188"/>
      <c r="V31" s="189"/>
      <c r="W31" s="189"/>
      <c r="X31" s="189"/>
      <c r="Y31" s="7" t="s">
        <v>208</v>
      </c>
      <c r="Z31" s="7">
        <v>5.0</v>
      </c>
      <c r="AA31" s="7" t="s">
        <v>199</v>
      </c>
      <c r="AB31" s="7">
        <v>2.0</v>
      </c>
      <c r="AC31" s="189"/>
      <c r="AD31" s="189"/>
      <c r="AE31" s="189"/>
      <c r="AF31" s="189"/>
      <c r="AG31" s="189"/>
      <c r="AH31" s="189"/>
      <c r="AI31" s="189"/>
      <c r="AJ31" s="189"/>
      <c r="AK31" s="189"/>
      <c r="AL31" s="189"/>
      <c r="AM31" s="189"/>
      <c r="AN31" s="189"/>
      <c r="AO31" s="189"/>
      <c r="AP31" s="189"/>
      <c r="AQ31" s="189"/>
      <c r="AR31" s="7" t="s">
        <v>26</v>
      </c>
      <c r="AS31" s="7"/>
      <c r="AT31" s="189"/>
      <c r="AU31" s="189"/>
      <c r="AV31" s="7" t="s">
        <v>214</v>
      </c>
      <c r="AW31" s="7">
        <v>1.0</v>
      </c>
      <c r="AX31" s="7" t="s">
        <v>26</v>
      </c>
      <c r="AY31" s="7"/>
      <c r="AZ31" s="7" t="s">
        <v>26</v>
      </c>
      <c r="BA31" s="7" t="s">
        <v>26</v>
      </c>
      <c r="BB31" s="7"/>
      <c r="BC31" s="7" t="s">
        <v>26</v>
      </c>
      <c r="BD31" s="7" t="s">
        <v>26</v>
      </c>
      <c r="BE31" s="7"/>
      <c r="BF31" s="7"/>
      <c r="BG31" s="193"/>
      <c r="BH31" s="191" t="s">
        <v>26</v>
      </c>
      <c r="BI31" s="7"/>
      <c r="BJ31" s="7" t="s">
        <v>26</v>
      </c>
      <c r="BK31" s="7" t="s">
        <v>26</v>
      </c>
      <c r="BL31" s="7"/>
      <c r="BM31" s="7"/>
      <c r="BN31" s="193"/>
      <c r="BO31" s="191" t="s">
        <v>26</v>
      </c>
      <c r="BP31" s="191"/>
    </row>
    <row r="32">
      <c r="A32" s="73">
        <v>31.0</v>
      </c>
      <c r="B32" s="7" t="s">
        <v>195</v>
      </c>
      <c r="C32" s="73" t="s">
        <v>249</v>
      </c>
      <c r="D32" s="77"/>
      <c r="E32" s="73">
        <v>1.0</v>
      </c>
      <c r="F32" s="77"/>
      <c r="G32" s="77">
        <v>1.0</v>
      </c>
      <c r="H32" s="192"/>
      <c r="I32" s="77"/>
      <c r="J32" s="73">
        <v>1.0</v>
      </c>
      <c r="K32" s="77"/>
      <c r="L32" s="77"/>
      <c r="M32" s="77"/>
      <c r="N32" s="73">
        <v>1.0</v>
      </c>
      <c r="O32" s="77"/>
      <c r="P32" s="73" t="s">
        <v>171</v>
      </c>
      <c r="Q32" s="77"/>
      <c r="R32" s="77"/>
      <c r="S32" s="187" t="str">
        <f t="shared" si="1"/>
        <v>Fey</v>
      </c>
      <c r="T32" s="191">
        <v>30.0</v>
      </c>
      <c r="U32" s="191">
        <v>100.0</v>
      </c>
      <c r="V32" s="189"/>
      <c r="W32" s="189"/>
      <c r="X32" s="189"/>
      <c r="Y32" s="7" t="s">
        <v>174</v>
      </c>
      <c r="Z32" s="7">
        <v>10.0</v>
      </c>
      <c r="AA32" s="7" t="s">
        <v>26</v>
      </c>
      <c r="AB32" s="189"/>
      <c r="AC32" s="189"/>
      <c r="AD32" s="189"/>
      <c r="AE32" s="189"/>
      <c r="AF32" s="189"/>
      <c r="AG32" s="189"/>
      <c r="AH32" s="189"/>
      <c r="AI32" s="189"/>
      <c r="AJ32" s="189"/>
      <c r="AK32" s="189"/>
      <c r="AL32" s="189"/>
      <c r="AM32" s="189"/>
      <c r="AN32" s="189"/>
      <c r="AO32" s="189"/>
      <c r="AP32" s="189"/>
      <c r="AQ32" s="189"/>
      <c r="AR32" s="7" t="s">
        <v>26</v>
      </c>
      <c r="AS32" s="7"/>
      <c r="AT32" s="189"/>
      <c r="AU32" s="189"/>
      <c r="AV32" s="7" t="s">
        <v>26</v>
      </c>
      <c r="AW32" s="7"/>
      <c r="AX32" s="7" t="s">
        <v>26</v>
      </c>
      <c r="AY32" s="7"/>
      <c r="AZ32" s="7" t="s">
        <v>26</v>
      </c>
      <c r="BA32" s="7" t="s">
        <v>26</v>
      </c>
      <c r="BB32" s="7"/>
      <c r="BC32" s="7" t="s">
        <v>26</v>
      </c>
      <c r="BD32" s="7" t="s">
        <v>26</v>
      </c>
      <c r="BE32" s="7"/>
      <c r="BF32" s="7"/>
      <c r="BG32" s="193"/>
      <c r="BH32" s="191" t="s">
        <v>26</v>
      </c>
      <c r="BI32" s="7"/>
      <c r="BJ32" s="7" t="s">
        <v>26</v>
      </c>
      <c r="BK32" s="7" t="s">
        <v>26</v>
      </c>
      <c r="BL32" s="7"/>
      <c r="BM32" s="7"/>
      <c r="BN32" s="193"/>
      <c r="BO32" s="191" t="s">
        <v>26</v>
      </c>
      <c r="BP32" s="191"/>
    </row>
    <row r="33">
      <c r="A33" s="73">
        <v>32.0</v>
      </c>
      <c r="B33" s="7" t="s">
        <v>195</v>
      </c>
      <c r="C33" s="73" t="s">
        <v>250</v>
      </c>
      <c r="D33" s="77"/>
      <c r="E33" s="73">
        <v>1.0</v>
      </c>
      <c r="F33" s="77"/>
      <c r="G33" s="77"/>
      <c r="H33" s="77"/>
      <c r="I33" s="77"/>
      <c r="J33" s="73">
        <v>2.0</v>
      </c>
      <c r="K33" s="77"/>
      <c r="L33" s="77"/>
      <c r="M33" s="77"/>
      <c r="N33" s="73">
        <v>2.0</v>
      </c>
      <c r="O33" s="77"/>
      <c r="P33" s="73" t="s">
        <v>171</v>
      </c>
      <c r="Q33" s="77"/>
      <c r="R33" s="77"/>
      <c r="S33" s="187" t="str">
        <f t="shared" si="1"/>
        <v>Fey</v>
      </c>
      <c r="T33" s="191">
        <v>17.0</v>
      </c>
      <c r="U33" s="191">
        <v>70.0</v>
      </c>
      <c r="V33" s="189"/>
      <c r="W33" s="189"/>
      <c r="X33" s="189"/>
      <c r="Y33" s="7" t="s">
        <v>26</v>
      </c>
      <c r="Z33" s="189"/>
      <c r="AA33" s="7" t="s">
        <v>26</v>
      </c>
      <c r="AB33" s="189"/>
      <c r="AC33" s="189"/>
      <c r="AD33" s="189"/>
      <c r="AE33" s="189"/>
      <c r="AF33" s="7">
        <v>2.0</v>
      </c>
      <c r="AG33" s="189"/>
      <c r="AH33" s="189"/>
      <c r="AI33" s="189"/>
      <c r="AJ33" s="189"/>
      <c r="AK33" s="189"/>
      <c r="AL33" s="189"/>
      <c r="AM33" s="189"/>
      <c r="AN33" s="189"/>
      <c r="AO33" s="189"/>
      <c r="AP33" s="189"/>
      <c r="AQ33" s="189"/>
      <c r="AR33" s="7" t="s">
        <v>26</v>
      </c>
      <c r="AS33" s="7"/>
      <c r="AT33" s="189"/>
      <c r="AU33" s="189"/>
      <c r="AV33" s="7" t="s">
        <v>26</v>
      </c>
      <c r="AW33" s="7"/>
      <c r="AX33" s="7" t="s">
        <v>26</v>
      </c>
      <c r="AY33" s="7"/>
      <c r="AZ33" s="7" t="s">
        <v>26</v>
      </c>
      <c r="BA33" s="7" t="s">
        <v>26</v>
      </c>
      <c r="BB33" s="7"/>
      <c r="BC33" s="7" t="s">
        <v>26</v>
      </c>
      <c r="BD33" s="7" t="s">
        <v>26</v>
      </c>
      <c r="BE33" s="7"/>
      <c r="BF33" s="7"/>
      <c r="BG33" s="193"/>
      <c r="BH33" s="191" t="s">
        <v>26</v>
      </c>
      <c r="BI33" s="7"/>
      <c r="BJ33" s="7" t="s">
        <v>26</v>
      </c>
      <c r="BK33" s="7" t="s">
        <v>26</v>
      </c>
      <c r="BL33" s="7"/>
      <c r="BM33" s="7"/>
      <c r="BN33" s="193"/>
      <c r="BO33" s="191" t="s">
        <v>26</v>
      </c>
      <c r="BP33" s="191"/>
    </row>
    <row r="34">
      <c r="A34" s="73">
        <v>33.0</v>
      </c>
      <c r="B34" s="7" t="s">
        <v>195</v>
      </c>
      <c r="C34" s="73" t="s">
        <v>252</v>
      </c>
      <c r="D34" s="77"/>
      <c r="E34" s="73">
        <v>1.0</v>
      </c>
      <c r="F34" s="77"/>
      <c r="G34" s="77"/>
      <c r="H34" s="77"/>
      <c r="I34" s="73">
        <v>2.0</v>
      </c>
      <c r="J34" s="77"/>
      <c r="K34" s="77"/>
      <c r="L34" s="77"/>
      <c r="M34" s="77"/>
      <c r="N34" s="73">
        <v>3.0</v>
      </c>
      <c r="O34" s="77"/>
      <c r="P34" s="73" t="s">
        <v>173</v>
      </c>
      <c r="Q34" s="77"/>
      <c r="R34" s="77"/>
      <c r="S34" s="187" t="str">
        <f t="shared" si="1"/>
        <v>Fey</v>
      </c>
      <c r="T34" s="191">
        <v>10.0</v>
      </c>
      <c r="U34" s="191">
        <v>100.0</v>
      </c>
      <c r="V34" s="189"/>
      <c r="W34" s="189"/>
      <c r="X34" s="189"/>
      <c r="Y34" s="7" t="s">
        <v>26</v>
      </c>
      <c r="Z34" s="189"/>
      <c r="AA34" s="7" t="s">
        <v>26</v>
      </c>
      <c r="AB34" s="189"/>
      <c r="AC34" s="189"/>
      <c r="AD34" s="189"/>
      <c r="AE34" s="189"/>
      <c r="AF34" s="189"/>
      <c r="AG34" s="189"/>
      <c r="AH34" s="189"/>
      <c r="AI34" s="189"/>
      <c r="AJ34" s="189"/>
      <c r="AK34" s="189"/>
      <c r="AL34" s="189"/>
      <c r="AM34" s="189"/>
      <c r="AN34" s="189"/>
      <c r="AO34" s="189"/>
      <c r="AP34" s="189"/>
      <c r="AQ34" s="189"/>
      <c r="AR34" s="7" t="s">
        <v>26</v>
      </c>
      <c r="AS34" s="7"/>
      <c r="AT34" s="189"/>
      <c r="AU34" s="189"/>
      <c r="AV34" s="7" t="s">
        <v>26</v>
      </c>
      <c r="AW34" s="7"/>
      <c r="AX34" s="7" t="s">
        <v>26</v>
      </c>
      <c r="AY34" s="7"/>
      <c r="AZ34" s="7" t="s">
        <v>26</v>
      </c>
      <c r="BA34" s="7" t="s">
        <v>26</v>
      </c>
      <c r="BB34" s="7"/>
      <c r="BC34" s="7" t="s">
        <v>26</v>
      </c>
      <c r="BD34" s="7" t="s">
        <v>26</v>
      </c>
      <c r="BE34" s="7"/>
      <c r="BF34" s="7"/>
      <c r="BG34" s="193"/>
      <c r="BH34" s="191" t="s">
        <v>26</v>
      </c>
      <c r="BI34" s="7"/>
      <c r="BJ34" s="7" t="s">
        <v>26</v>
      </c>
      <c r="BK34" s="7" t="s">
        <v>26</v>
      </c>
      <c r="BL34" s="7"/>
      <c r="BM34" s="7"/>
      <c r="BN34" s="193"/>
      <c r="BO34" s="191" t="s">
        <v>26</v>
      </c>
      <c r="BP34" s="191"/>
    </row>
    <row r="35">
      <c r="A35" s="73">
        <v>34.0</v>
      </c>
      <c r="B35" s="7" t="s">
        <v>253</v>
      </c>
      <c r="C35" s="73" t="s">
        <v>254</v>
      </c>
      <c r="D35" s="73">
        <v>1.0</v>
      </c>
      <c r="E35" s="77"/>
      <c r="F35" s="77"/>
      <c r="G35" s="192">
        <v>1.0</v>
      </c>
      <c r="H35" s="73">
        <v>1.0</v>
      </c>
      <c r="I35" s="77"/>
      <c r="J35" s="77"/>
      <c r="K35" s="77"/>
      <c r="L35" s="77"/>
      <c r="M35" s="77"/>
      <c r="N35" s="73">
        <v>2.0</v>
      </c>
      <c r="O35" s="77"/>
      <c r="P35" s="73" t="s">
        <v>171</v>
      </c>
      <c r="Q35" s="77"/>
      <c r="R35" s="77"/>
      <c r="S35" s="187" t="str">
        <f t="shared" si="1"/>
        <v>Plantoid Fey</v>
      </c>
      <c r="T35" s="191">
        <v>50.0</v>
      </c>
      <c r="U35" s="188"/>
      <c r="V35" s="189"/>
      <c r="W35" s="189"/>
      <c r="X35" s="189"/>
      <c r="Y35" s="7" t="s">
        <v>199</v>
      </c>
      <c r="Z35" s="7">
        <v>5.0</v>
      </c>
      <c r="AA35" s="7" t="s">
        <v>26</v>
      </c>
      <c r="AB35" s="189"/>
      <c r="AC35" s="189"/>
      <c r="AD35" s="189"/>
      <c r="AE35" s="189"/>
      <c r="AF35" s="189"/>
      <c r="AG35" s="189"/>
      <c r="AH35" s="189"/>
      <c r="AI35" s="189"/>
      <c r="AJ35" s="189"/>
      <c r="AK35" s="189"/>
      <c r="AL35" s="189"/>
      <c r="AM35" s="189"/>
      <c r="AN35" s="189"/>
      <c r="AO35" s="189"/>
      <c r="AP35" s="189"/>
      <c r="AQ35" s="189"/>
      <c r="AR35" s="7" t="s">
        <v>26</v>
      </c>
      <c r="AS35" s="7"/>
      <c r="AT35" s="189"/>
      <c r="AU35" s="189"/>
      <c r="AV35" s="7" t="s">
        <v>208</v>
      </c>
      <c r="AW35" s="7">
        <v>1.0</v>
      </c>
      <c r="AX35" s="7" t="s">
        <v>26</v>
      </c>
      <c r="AY35" s="7"/>
      <c r="AZ35" s="7" t="s">
        <v>26</v>
      </c>
      <c r="BA35" s="7" t="s">
        <v>26</v>
      </c>
      <c r="BB35" s="7"/>
      <c r="BC35" s="7" t="s">
        <v>26</v>
      </c>
      <c r="BD35" s="7" t="s">
        <v>26</v>
      </c>
      <c r="BE35" s="7"/>
      <c r="BF35" s="7"/>
      <c r="BG35" s="193"/>
      <c r="BH35" s="191" t="s">
        <v>26</v>
      </c>
      <c r="BI35" s="7"/>
      <c r="BJ35" s="7" t="s">
        <v>26</v>
      </c>
      <c r="BK35" s="7" t="s">
        <v>26</v>
      </c>
      <c r="BL35" s="7"/>
      <c r="BM35" s="7"/>
      <c r="BN35" s="193"/>
      <c r="BO35" s="191" t="s">
        <v>26</v>
      </c>
      <c r="BP35" s="191"/>
    </row>
    <row r="36">
      <c r="A36" s="73">
        <v>35.0</v>
      </c>
      <c r="B36" s="7" t="s">
        <v>169</v>
      </c>
      <c r="C36" s="73" t="s">
        <v>256</v>
      </c>
      <c r="D36" s="77"/>
      <c r="E36" s="77"/>
      <c r="F36" s="77"/>
      <c r="G36" s="77">
        <v>1.0</v>
      </c>
      <c r="H36" s="192"/>
      <c r="I36" s="77"/>
      <c r="J36" s="73">
        <v>2.0</v>
      </c>
      <c r="K36" s="77"/>
      <c r="L36" s="77"/>
      <c r="M36" s="77"/>
      <c r="N36" s="77"/>
      <c r="O36" s="77"/>
      <c r="P36" s="73" t="s">
        <v>171</v>
      </c>
      <c r="Q36" s="77"/>
      <c r="R36" s="77"/>
      <c r="S36" s="187" t="str">
        <f t="shared" si="1"/>
        <v>Humanoid</v>
      </c>
      <c r="T36" s="188"/>
      <c r="U36" s="188"/>
      <c r="V36" s="189"/>
      <c r="W36" s="189"/>
      <c r="X36" s="189"/>
      <c r="Y36" s="7" t="s">
        <v>257</v>
      </c>
      <c r="Z36" s="7">
        <v>5.0</v>
      </c>
      <c r="AA36" s="7" t="s">
        <v>258</v>
      </c>
      <c r="AB36" s="7">
        <v>5.0</v>
      </c>
      <c r="AC36" s="189"/>
      <c r="AD36" s="189"/>
      <c r="AE36" s="189"/>
      <c r="AF36" s="189"/>
      <c r="AG36" s="189"/>
      <c r="AH36" s="189"/>
      <c r="AI36" s="189"/>
      <c r="AJ36" s="189"/>
      <c r="AK36" s="189"/>
      <c r="AL36" s="189"/>
      <c r="AM36" s="189"/>
      <c r="AN36" s="189"/>
      <c r="AO36" s="189"/>
      <c r="AP36" s="189"/>
      <c r="AQ36" s="189"/>
      <c r="AR36" s="7" t="s">
        <v>26</v>
      </c>
      <c r="AS36" s="7"/>
      <c r="AT36" s="189"/>
      <c r="AU36" s="189"/>
      <c r="AV36" s="7" t="s">
        <v>26</v>
      </c>
      <c r="AW36" s="7"/>
      <c r="AX36" s="7" t="s">
        <v>26</v>
      </c>
      <c r="AY36" s="7"/>
      <c r="AZ36" s="7" t="s">
        <v>26</v>
      </c>
      <c r="BA36" s="7" t="s">
        <v>26</v>
      </c>
      <c r="BB36" s="7"/>
      <c r="BC36" s="7" t="s">
        <v>26</v>
      </c>
      <c r="BD36" s="7" t="s">
        <v>26</v>
      </c>
      <c r="BE36" s="7"/>
      <c r="BF36" s="7"/>
      <c r="BG36" s="193"/>
      <c r="BH36" s="191" t="s">
        <v>26</v>
      </c>
      <c r="BI36" s="7"/>
      <c r="BJ36" s="7" t="s">
        <v>26</v>
      </c>
      <c r="BK36" s="7" t="s">
        <v>26</v>
      </c>
      <c r="BL36" s="7"/>
      <c r="BM36" s="7"/>
      <c r="BN36" s="193"/>
      <c r="BO36" s="191" t="s">
        <v>26</v>
      </c>
      <c r="BP36" s="191"/>
    </row>
    <row r="37">
      <c r="A37" s="73">
        <v>36.0</v>
      </c>
      <c r="B37" s="7" t="s">
        <v>195</v>
      </c>
      <c r="C37" s="73" t="s">
        <v>261</v>
      </c>
      <c r="D37" s="77"/>
      <c r="E37" s="77"/>
      <c r="F37" s="77"/>
      <c r="G37" s="77">
        <v>2.0</v>
      </c>
      <c r="H37" s="192"/>
      <c r="I37" s="73">
        <v>1.0</v>
      </c>
      <c r="J37" s="77"/>
      <c r="K37" s="77"/>
      <c r="L37" s="77"/>
      <c r="M37" s="77"/>
      <c r="N37" s="73">
        <v>3.0</v>
      </c>
      <c r="O37" s="77"/>
      <c r="P37" s="73" t="s">
        <v>171</v>
      </c>
      <c r="Q37" s="77"/>
      <c r="R37" s="77"/>
      <c r="S37" s="187" t="str">
        <f t="shared" si="1"/>
        <v>Fey</v>
      </c>
      <c r="T37" s="188"/>
      <c r="U37" s="188"/>
      <c r="V37" s="189"/>
      <c r="W37" s="189"/>
      <c r="X37" s="189"/>
      <c r="Y37" s="7" t="s">
        <v>26</v>
      </c>
      <c r="Z37" s="189"/>
      <c r="AA37" s="7" t="s">
        <v>26</v>
      </c>
      <c r="AB37" s="189"/>
      <c r="AC37" s="189"/>
      <c r="AD37" s="189"/>
      <c r="AE37" s="189"/>
      <c r="AF37" s="189"/>
      <c r="AG37" s="189"/>
      <c r="AH37" s="189"/>
      <c r="AI37" s="189"/>
      <c r="AJ37" s="189"/>
      <c r="AK37" s="189"/>
      <c r="AL37" s="189"/>
      <c r="AM37" s="189"/>
      <c r="AN37" s="189"/>
      <c r="AO37" s="189"/>
      <c r="AP37" s="189"/>
      <c r="AQ37" s="189"/>
      <c r="AR37" s="7" t="s">
        <v>26</v>
      </c>
      <c r="AS37" s="7"/>
      <c r="AT37" s="189"/>
      <c r="AU37" s="189"/>
      <c r="AV37" s="7" t="s">
        <v>26</v>
      </c>
      <c r="AW37" s="7"/>
      <c r="AX37" s="7" t="s">
        <v>26</v>
      </c>
      <c r="AY37" s="7"/>
      <c r="AZ37" s="7" t="s">
        <v>26</v>
      </c>
      <c r="BA37" s="7" t="s">
        <v>26</v>
      </c>
      <c r="BB37" s="7"/>
      <c r="BC37" s="7" t="s">
        <v>26</v>
      </c>
      <c r="BD37" s="7" t="s">
        <v>26</v>
      </c>
      <c r="BE37" s="7"/>
      <c r="BF37" s="7"/>
      <c r="BG37" s="193"/>
      <c r="BH37" s="191" t="s">
        <v>26</v>
      </c>
      <c r="BI37" s="7"/>
      <c r="BJ37" s="7" t="s">
        <v>26</v>
      </c>
      <c r="BK37" s="7" t="s">
        <v>26</v>
      </c>
      <c r="BL37" s="7"/>
      <c r="BM37" s="7"/>
      <c r="BN37" s="193"/>
      <c r="BO37" s="191" t="s">
        <v>26</v>
      </c>
      <c r="BP37" s="191"/>
    </row>
    <row r="38">
      <c r="A38" s="73">
        <v>37.0</v>
      </c>
      <c r="B38" s="7" t="s">
        <v>195</v>
      </c>
      <c r="C38" s="73" t="s">
        <v>263</v>
      </c>
      <c r="D38" s="77"/>
      <c r="E38" s="73">
        <v>2.0</v>
      </c>
      <c r="F38" s="77"/>
      <c r="G38" s="77"/>
      <c r="H38" s="77"/>
      <c r="I38" s="73">
        <v>2.0</v>
      </c>
      <c r="J38" s="73">
        <v>2.0</v>
      </c>
      <c r="K38" s="77"/>
      <c r="L38" s="77"/>
      <c r="M38" s="77"/>
      <c r="N38" s="77"/>
      <c r="O38" s="77"/>
      <c r="P38" s="73" t="s">
        <v>171</v>
      </c>
      <c r="Q38" s="77"/>
      <c r="R38" s="77"/>
      <c r="S38" s="187" t="str">
        <f t="shared" si="1"/>
        <v>Fey</v>
      </c>
      <c r="T38" s="188"/>
      <c r="U38" s="188"/>
      <c r="V38" s="189"/>
      <c r="W38" s="189"/>
      <c r="X38" s="189"/>
      <c r="Y38" s="7" t="s">
        <v>208</v>
      </c>
      <c r="Z38" s="7">
        <v>5.0</v>
      </c>
      <c r="AA38" s="7" t="s">
        <v>26</v>
      </c>
      <c r="AB38" s="189"/>
      <c r="AC38" s="189"/>
      <c r="AD38" s="189"/>
      <c r="AE38" s="189"/>
      <c r="AF38" s="189"/>
      <c r="AG38" s="189"/>
      <c r="AH38" s="189"/>
      <c r="AI38" s="189"/>
      <c r="AJ38" s="189"/>
      <c r="AK38" s="189"/>
      <c r="AL38" s="189"/>
      <c r="AM38" s="189"/>
      <c r="AN38" s="189"/>
      <c r="AO38" s="189"/>
      <c r="AP38" s="189"/>
      <c r="AQ38" s="7">
        <v>1.0</v>
      </c>
      <c r="AR38" s="7" t="s">
        <v>217</v>
      </c>
      <c r="AS38" s="7"/>
      <c r="AT38" s="189"/>
      <c r="AU38" s="189"/>
      <c r="AV38" s="7" t="s">
        <v>26</v>
      </c>
      <c r="AW38" s="7"/>
      <c r="AX38" s="7" t="s">
        <v>26</v>
      </c>
      <c r="AY38" s="7"/>
      <c r="AZ38" s="7" t="s">
        <v>26</v>
      </c>
      <c r="BA38" s="7" t="s">
        <v>26</v>
      </c>
      <c r="BB38" s="7"/>
      <c r="BC38" s="7" t="s">
        <v>26</v>
      </c>
      <c r="BD38" s="7" t="s">
        <v>26</v>
      </c>
      <c r="BE38" s="7"/>
      <c r="BF38" s="7"/>
      <c r="BG38" s="193"/>
      <c r="BH38" s="191" t="s">
        <v>26</v>
      </c>
      <c r="BI38" s="7"/>
      <c r="BJ38" s="7" t="s">
        <v>26</v>
      </c>
      <c r="BK38" s="7" t="s">
        <v>26</v>
      </c>
      <c r="BL38" s="7"/>
      <c r="BM38" s="7"/>
      <c r="BN38" s="193"/>
      <c r="BO38" s="191" t="s">
        <v>26</v>
      </c>
      <c r="BP38" s="191"/>
    </row>
    <row r="39">
      <c r="A39" s="73">
        <v>38.0</v>
      </c>
      <c r="B39" s="7" t="s">
        <v>195</v>
      </c>
      <c r="C39" s="73" t="s">
        <v>264</v>
      </c>
      <c r="D39" s="73">
        <v>2.0</v>
      </c>
      <c r="E39" s="77"/>
      <c r="F39" s="73">
        <v>1.0</v>
      </c>
      <c r="G39" s="192">
        <v>2.0</v>
      </c>
      <c r="H39" s="73"/>
      <c r="I39" s="77"/>
      <c r="J39" s="77"/>
      <c r="K39" s="77"/>
      <c r="L39" s="73">
        <v>1.0</v>
      </c>
      <c r="M39" s="77"/>
      <c r="N39" s="77"/>
      <c r="O39" s="77"/>
      <c r="P39" s="73" t="s">
        <v>171</v>
      </c>
      <c r="Q39" s="77"/>
      <c r="R39" s="77"/>
      <c r="S39" s="187" t="str">
        <f t="shared" si="1"/>
        <v>Fey</v>
      </c>
      <c r="T39" s="191">
        <v>19.0</v>
      </c>
      <c r="U39" s="191">
        <v>60.0</v>
      </c>
      <c r="V39" s="189"/>
      <c r="W39" s="189"/>
      <c r="X39" s="189"/>
      <c r="Y39" s="7" t="s">
        <v>26</v>
      </c>
      <c r="Z39" s="189"/>
      <c r="AA39" s="7" t="s">
        <v>26</v>
      </c>
      <c r="AB39" s="189"/>
      <c r="AC39" s="189"/>
      <c r="AD39" s="189"/>
      <c r="AE39" s="189"/>
      <c r="AF39" s="189"/>
      <c r="AG39" s="189"/>
      <c r="AH39" s="189"/>
      <c r="AI39" s="189"/>
      <c r="AJ39" s="189"/>
      <c r="AK39" s="189"/>
      <c r="AL39" s="189"/>
      <c r="AM39" s="189"/>
      <c r="AN39" s="189"/>
      <c r="AO39" s="189"/>
      <c r="AP39" s="189"/>
      <c r="AQ39" s="7">
        <v>1.0</v>
      </c>
      <c r="AR39" s="7" t="s">
        <v>217</v>
      </c>
      <c r="AS39" s="7"/>
      <c r="AT39" s="189"/>
      <c r="AU39" s="189"/>
      <c r="AV39" s="7" t="s">
        <v>26</v>
      </c>
      <c r="AW39" s="7"/>
      <c r="AX39" s="7" t="s">
        <v>26</v>
      </c>
      <c r="AY39" s="7"/>
      <c r="AZ39" s="7" t="s">
        <v>26</v>
      </c>
      <c r="BA39" s="7" t="s">
        <v>26</v>
      </c>
      <c r="BB39" s="7"/>
      <c r="BC39" s="7" t="s">
        <v>26</v>
      </c>
      <c r="BD39" s="7" t="s">
        <v>26</v>
      </c>
      <c r="BE39" s="7"/>
      <c r="BF39" s="7"/>
      <c r="BG39" s="193"/>
      <c r="BH39" s="191" t="s">
        <v>26</v>
      </c>
      <c r="BI39" s="7"/>
      <c r="BJ39" s="7" t="s">
        <v>26</v>
      </c>
      <c r="BK39" s="7" t="s">
        <v>26</v>
      </c>
      <c r="BL39" s="7"/>
      <c r="BM39" s="7"/>
      <c r="BN39" s="193"/>
      <c r="BO39" s="191" t="s">
        <v>26</v>
      </c>
      <c r="BP39" s="191"/>
    </row>
    <row r="40">
      <c r="A40" s="73">
        <v>39.0</v>
      </c>
      <c r="B40" s="7" t="s">
        <v>265</v>
      </c>
      <c r="C40" s="73" t="s">
        <v>266</v>
      </c>
      <c r="D40" s="77"/>
      <c r="E40" s="73">
        <v>2.0</v>
      </c>
      <c r="F40" s="77"/>
      <c r="G40" s="77">
        <v>2.0</v>
      </c>
      <c r="H40" s="192"/>
      <c r="I40" s="77"/>
      <c r="J40" s="77"/>
      <c r="K40" s="77"/>
      <c r="L40" s="77"/>
      <c r="M40" s="77"/>
      <c r="N40" s="77"/>
      <c r="O40" s="77"/>
      <c r="P40" s="73" t="s">
        <v>173</v>
      </c>
      <c r="Q40" s="77"/>
      <c r="R40" s="77"/>
      <c r="S40" s="187" t="str">
        <f t="shared" si="1"/>
        <v>Goblinoid Fey</v>
      </c>
      <c r="T40" s="191">
        <v>31.0</v>
      </c>
      <c r="U40" s="191">
        <v>81.0</v>
      </c>
      <c r="V40" s="189"/>
      <c r="W40" s="189"/>
      <c r="X40" s="189"/>
      <c r="Y40" s="7" t="s">
        <v>26</v>
      </c>
      <c r="Z40" s="189"/>
      <c r="AA40" s="7" t="s">
        <v>26</v>
      </c>
      <c r="AB40" s="189"/>
      <c r="AC40" s="189"/>
      <c r="AD40" s="189"/>
      <c r="AE40" s="189"/>
      <c r="AF40" s="189"/>
      <c r="AG40" s="189"/>
      <c r="AH40" s="189"/>
      <c r="AI40" s="189"/>
      <c r="AJ40" s="189"/>
      <c r="AK40" s="189"/>
      <c r="AL40" s="189"/>
      <c r="AM40" s="189"/>
      <c r="AN40" s="189"/>
      <c r="AO40" s="189"/>
      <c r="AP40" s="189"/>
      <c r="AQ40" s="189"/>
      <c r="AR40" s="7" t="s">
        <v>26</v>
      </c>
      <c r="AS40" s="7"/>
      <c r="AT40" s="189"/>
      <c r="AU40" s="189"/>
      <c r="AV40" s="7" t="s">
        <v>26</v>
      </c>
      <c r="AW40" s="7"/>
      <c r="AX40" s="7" t="s">
        <v>26</v>
      </c>
      <c r="AY40" s="7"/>
      <c r="AZ40" s="7" t="s">
        <v>26</v>
      </c>
      <c r="BA40" s="7" t="s">
        <v>26</v>
      </c>
      <c r="BB40" s="7"/>
      <c r="BC40" s="7" t="s">
        <v>26</v>
      </c>
      <c r="BD40" s="7" t="s">
        <v>26</v>
      </c>
      <c r="BE40" s="7"/>
      <c r="BF40" s="7"/>
      <c r="BG40" s="193"/>
      <c r="BH40" s="191" t="s">
        <v>26</v>
      </c>
      <c r="BI40" s="7"/>
      <c r="BJ40" s="7" t="s">
        <v>26</v>
      </c>
      <c r="BK40" s="7" t="s">
        <v>26</v>
      </c>
      <c r="BL40" s="7"/>
      <c r="BM40" s="7"/>
      <c r="BN40" s="193"/>
      <c r="BO40" s="191" t="s">
        <v>26</v>
      </c>
      <c r="BP40" s="191"/>
    </row>
    <row r="41">
      <c r="A41" s="73">
        <v>40.0</v>
      </c>
      <c r="B41" s="7" t="s">
        <v>267</v>
      </c>
      <c r="C41" s="73" t="s">
        <v>268</v>
      </c>
      <c r="D41" s="73">
        <v>1.0</v>
      </c>
      <c r="E41" s="77"/>
      <c r="F41" s="77"/>
      <c r="G41" s="192"/>
      <c r="H41" s="206">
        <v>2.0</v>
      </c>
      <c r="I41" s="73">
        <v>2.0</v>
      </c>
      <c r="J41" s="77"/>
      <c r="K41" s="77"/>
      <c r="L41" s="77"/>
      <c r="M41" s="77"/>
      <c r="N41" s="77"/>
      <c r="O41" s="77"/>
      <c r="P41" s="73" t="s">
        <v>171</v>
      </c>
      <c r="Q41" s="77"/>
      <c r="R41" s="77"/>
      <c r="S41" s="187" t="str">
        <f t="shared" si="1"/>
        <v>Automaton</v>
      </c>
      <c r="T41" s="191"/>
      <c r="U41" s="191"/>
      <c r="V41" s="189"/>
      <c r="W41" s="189"/>
      <c r="X41" s="189"/>
      <c r="Y41" s="7" t="s">
        <v>26</v>
      </c>
      <c r="Z41" s="189"/>
      <c r="AA41" s="7" t="s">
        <v>26</v>
      </c>
      <c r="AB41" s="189"/>
      <c r="AC41" s="189"/>
      <c r="AD41" s="189"/>
      <c r="AE41" s="7" t="s">
        <v>184</v>
      </c>
      <c r="AF41" s="189"/>
      <c r="AG41" s="189"/>
      <c r="AH41" s="189"/>
      <c r="AI41" s="189"/>
      <c r="AJ41" s="189"/>
      <c r="AK41" s="189"/>
      <c r="AL41" s="189"/>
      <c r="AM41" s="189"/>
      <c r="AN41" s="189"/>
      <c r="AO41" s="189"/>
      <c r="AP41" s="189"/>
      <c r="AQ41" s="189"/>
      <c r="AR41" s="7" t="s">
        <v>26</v>
      </c>
      <c r="AS41" s="7"/>
      <c r="AT41" s="189"/>
      <c r="AU41" s="189"/>
      <c r="AV41" s="7" t="s">
        <v>185</v>
      </c>
      <c r="AW41" s="7">
        <v>1.0</v>
      </c>
      <c r="AX41" s="7" t="s">
        <v>186</v>
      </c>
      <c r="AY41" s="7">
        <v>2.0</v>
      </c>
      <c r="AZ41" s="7" t="s">
        <v>26</v>
      </c>
      <c r="BA41" s="7" t="s">
        <v>26</v>
      </c>
      <c r="BB41" s="7"/>
      <c r="BC41" s="7" t="s">
        <v>26</v>
      </c>
      <c r="BD41" s="7" t="s">
        <v>26</v>
      </c>
      <c r="BE41" s="7"/>
      <c r="BF41" s="7"/>
      <c r="BG41" s="193"/>
      <c r="BH41" s="191" t="s">
        <v>26</v>
      </c>
      <c r="BI41" s="7"/>
      <c r="BJ41" s="7" t="s">
        <v>26</v>
      </c>
      <c r="BK41" s="7" t="s">
        <v>26</v>
      </c>
      <c r="BL41" s="7"/>
      <c r="BM41" s="7"/>
      <c r="BN41" s="193"/>
      <c r="BO41" s="191" t="s">
        <v>26</v>
      </c>
      <c r="BP41" s="191"/>
    </row>
    <row r="42">
      <c r="A42" s="73">
        <v>41.0</v>
      </c>
      <c r="B42" s="7" t="s">
        <v>269</v>
      </c>
      <c r="C42" s="73" t="s">
        <v>270</v>
      </c>
      <c r="D42" s="77"/>
      <c r="E42" s="77"/>
      <c r="F42" s="73">
        <v>2.0</v>
      </c>
      <c r="G42" s="73">
        <v>1.0</v>
      </c>
      <c r="H42" s="73">
        <v>1.0</v>
      </c>
      <c r="I42" s="77"/>
      <c r="J42" s="77"/>
      <c r="K42" s="77"/>
      <c r="L42" s="77"/>
      <c r="M42" s="77"/>
      <c r="N42" s="77"/>
      <c r="O42" s="77"/>
      <c r="P42" s="73" t="s">
        <v>171</v>
      </c>
      <c r="Q42" s="77"/>
      <c r="R42" s="77"/>
      <c r="S42" s="187" t="str">
        <f t="shared" si="1"/>
        <v>Undead</v>
      </c>
      <c r="T42" s="191"/>
      <c r="U42" s="191"/>
      <c r="V42" s="189"/>
      <c r="W42" s="189"/>
      <c r="X42" s="189"/>
      <c r="Y42" s="7" t="s">
        <v>26</v>
      </c>
      <c r="Z42" s="189"/>
      <c r="AA42" s="7" t="s">
        <v>26</v>
      </c>
      <c r="AB42" s="189"/>
      <c r="AC42" s="189"/>
      <c r="AD42" s="189"/>
      <c r="AE42" s="189"/>
      <c r="AF42" s="189"/>
      <c r="AG42" s="189"/>
      <c r="AH42" s="189"/>
      <c r="AI42" s="189"/>
      <c r="AJ42" s="189"/>
      <c r="AK42" s="189"/>
      <c r="AL42" s="189"/>
      <c r="AM42" s="189"/>
      <c r="AN42" s="189"/>
      <c r="AO42" s="189"/>
      <c r="AP42" s="189"/>
      <c r="AQ42" s="189"/>
      <c r="AR42" s="7" t="s">
        <v>26</v>
      </c>
      <c r="AS42" s="7"/>
      <c r="AT42" s="189"/>
      <c r="AU42" s="189"/>
      <c r="AV42" s="7" t="s">
        <v>257</v>
      </c>
      <c r="AW42" s="7">
        <v>1.0</v>
      </c>
      <c r="AX42" s="7" t="s">
        <v>26</v>
      </c>
      <c r="AY42" s="7"/>
      <c r="AZ42" s="7" t="s">
        <v>26</v>
      </c>
      <c r="BA42" s="7" t="s">
        <v>26</v>
      </c>
      <c r="BB42" s="7"/>
      <c r="BC42" s="7" t="s">
        <v>26</v>
      </c>
      <c r="BD42" s="7" t="s">
        <v>26</v>
      </c>
      <c r="BE42" s="7"/>
      <c r="BF42" s="7"/>
      <c r="BG42" s="193"/>
      <c r="BH42" s="191" t="s">
        <v>26</v>
      </c>
      <c r="BI42" s="7"/>
      <c r="BJ42" s="7" t="s">
        <v>26</v>
      </c>
      <c r="BK42" s="7" t="s">
        <v>26</v>
      </c>
      <c r="BL42" s="7"/>
      <c r="BM42" s="7"/>
      <c r="BN42" s="193"/>
      <c r="BO42" s="191" t="s">
        <v>26</v>
      </c>
      <c r="BP42" s="191"/>
    </row>
    <row r="43">
      <c r="A43" s="73">
        <v>42.0</v>
      </c>
      <c r="B43" s="7"/>
      <c r="C43" s="73"/>
      <c r="D43" s="77"/>
      <c r="E43" s="73"/>
      <c r="F43" s="73"/>
      <c r="G43" s="73"/>
      <c r="H43" s="77"/>
      <c r="I43" s="77"/>
      <c r="J43" s="73"/>
      <c r="K43" s="77"/>
      <c r="L43" s="77"/>
      <c r="M43" s="77"/>
      <c r="N43" s="77"/>
      <c r="O43" s="77"/>
      <c r="P43" s="73"/>
      <c r="Q43" s="77"/>
      <c r="R43" s="77"/>
      <c r="S43" s="187"/>
      <c r="T43" s="191"/>
      <c r="U43" s="191"/>
      <c r="V43" s="189"/>
      <c r="W43" s="189"/>
      <c r="X43" s="189"/>
      <c r="Y43" s="7" t="s">
        <v>26</v>
      </c>
      <c r="Z43" s="7"/>
      <c r="AA43" s="7" t="s">
        <v>26</v>
      </c>
      <c r="AB43" s="189"/>
      <c r="AC43" s="189"/>
      <c r="AD43" s="189"/>
      <c r="AE43" s="189"/>
      <c r="AF43" s="7"/>
      <c r="AG43" s="189"/>
      <c r="AH43" s="189"/>
      <c r="AI43" s="189"/>
      <c r="AJ43" s="189"/>
      <c r="AK43" s="189"/>
      <c r="AL43" s="189"/>
      <c r="AM43" s="189"/>
      <c r="AN43" s="189"/>
      <c r="AO43" s="189"/>
      <c r="AP43" s="189"/>
      <c r="AQ43" s="189"/>
      <c r="AR43" s="7" t="s">
        <v>26</v>
      </c>
      <c r="AS43" s="7"/>
      <c r="AT43" s="189"/>
      <c r="AU43" s="189"/>
      <c r="AV43" s="7" t="s">
        <v>26</v>
      </c>
      <c r="AW43" s="7"/>
      <c r="AX43" s="7" t="s">
        <v>26</v>
      </c>
      <c r="AY43" s="7"/>
      <c r="AZ43" s="7" t="s">
        <v>26</v>
      </c>
      <c r="BA43" s="7" t="s">
        <v>26</v>
      </c>
      <c r="BB43" s="7"/>
      <c r="BC43" s="7" t="s">
        <v>26</v>
      </c>
      <c r="BD43" s="7" t="s">
        <v>26</v>
      </c>
      <c r="BE43" s="7"/>
      <c r="BF43" s="7"/>
      <c r="BG43" s="193"/>
      <c r="BH43" s="191" t="s">
        <v>26</v>
      </c>
      <c r="BI43" s="7"/>
      <c r="BJ43" s="7" t="s">
        <v>26</v>
      </c>
      <c r="BK43" s="7" t="s">
        <v>26</v>
      </c>
      <c r="BL43" s="7"/>
      <c r="BM43" s="7"/>
      <c r="BN43" s="193"/>
      <c r="BO43" s="191" t="s">
        <v>26</v>
      </c>
      <c r="BP43" s="191"/>
    </row>
    <row r="44">
      <c r="A44" s="73">
        <v>43.0</v>
      </c>
      <c r="B44" s="7"/>
      <c r="C44" s="73"/>
      <c r="D44" s="77"/>
      <c r="E44" s="77"/>
      <c r="F44" s="77"/>
      <c r="G44" s="77"/>
      <c r="H44" s="77"/>
      <c r="I44" s="77"/>
      <c r="J44" s="77"/>
      <c r="K44" s="77"/>
      <c r="L44" s="77"/>
      <c r="M44" s="77"/>
      <c r="N44" s="77"/>
      <c r="O44" s="77"/>
      <c r="P44" s="77"/>
      <c r="Q44" s="77"/>
      <c r="R44" s="77"/>
      <c r="S44" s="187" t="str">
        <f t="shared" ref="S44:S55" si="2">B44</f>
        <v/>
      </c>
      <c r="T44" s="188"/>
      <c r="U44" s="188"/>
      <c r="V44" s="189"/>
      <c r="W44" s="189"/>
      <c r="X44" s="189"/>
      <c r="Y44" s="7" t="s">
        <v>26</v>
      </c>
      <c r="Z44" s="7"/>
      <c r="AA44" s="7" t="s">
        <v>26</v>
      </c>
      <c r="AB44" s="189"/>
      <c r="AC44" s="189"/>
      <c r="AD44" s="189"/>
      <c r="AE44" s="189"/>
      <c r="AF44" s="189"/>
      <c r="AG44" s="189"/>
      <c r="AH44" s="189"/>
      <c r="AI44" s="189"/>
      <c r="AJ44" s="189"/>
      <c r="AK44" s="189"/>
      <c r="AL44" s="189"/>
      <c r="AM44" s="189"/>
      <c r="AN44" s="189"/>
      <c r="AO44" s="189"/>
      <c r="AP44" s="189"/>
      <c r="AQ44" s="189"/>
      <c r="AR44" s="7" t="s">
        <v>26</v>
      </c>
      <c r="AS44" s="7"/>
      <c r="AT44" s="189"/>
      <c r="AU44" s="189"/>
      <c r="AV44" s="7" t="s">
        <v>26</v>
      </c>
      <c r="AW44" s="7"/>
      <c r="AX44" s="7" t="s">
        <v>26</v>
      </c>
      <c r="AY44" s="7"/>
      <c r="AZ44" s="7" t="s">
        <v>26</v>
      </c>
      <c r="BA44" s="7" t="s">
        <v>26</v>
      </c>
      <c r="BB44" s="7"/>
      <c r="BC44" s="7" t="s">
        <v>26</v>
      </c>
      <c r="BD44" s="7" t="s">
        <v>26</v>
      </c>
      <c r="BE44" s="7"/>
      <c r="BF44" s="7"/>
      <c r="BG44" s="193"/>
      <c r="BH44" s="191" t="s">
        <v>26</v>
      </c>
      <c r="BI44" s="7"/>
      <c r="BJ44" s="7" t="s">
        <v>26</v>
      </c>
      <c r="BK44" s="7" t="s">
        <v>26</v>
      </c>
      <c r="BL44" s="7"/>
      <c r="BM44" s="7"/>
      <c r="BN44" s="193"/>
      <c r="BO44" s="191" t="s">
        <v>26</v>
      </c>
      <c r="BP44" s="191"/>
    </row>
    <row r="45">
      <c r="A45" s="73">
        <v>44.0</v>
      </c>
      <c r="B45" s="7"/>
      <c r="C45" s="73"/>
      <c r="D45" s="77"/>
      <c r="E45" s="77"/>
      <c r="F45" s="77"/>
      <c r="G45" s="77"/>
      <c r="H45" s="77"/>
      <c r="I45" s="77"/>
      <c r="J45" s="77"/>
      <c r="K45" s="77"/>
      <c r="L45" s="77"/>
      <c r="M45" s="77"/>
      <c r="N45" s="77"/>
      <c r="O45" s="77"/>
      <c r="P45" s="77"/>
      <c r="Q45" s="77"/>
      <c r="R45" s="77"/>
      <c r="S45" s="187" t="str">
        <f t="shared" si="2"/>
        <v/>
      </c>
      <c r="T45" s="188"/>
      <c r="U45" s="188"/>
      <c r="V45" s="189"/>
      <c r="W45" s="189"/>
      <c r="X45" s="189"/>
      <c r="Y45" s="7" t="s">
        <v>26</v>
      </c>
      <c r="Z45" s="189"/>
      <c r="AA45" s="7" t="s">
        <v>26</v>
      </c>
      <c r="AB45" s="189"/>
      <c r="AC45" s="189"/>
      <c r="AD45" s="189"/>
      <c r="AE45" s="189"/>
      <c r="AF45" s="189"/>
      <c r="AG45" s="189"/>
      <c r="AH45" s="189"/>
      <c r="AI45" s="189"/>
      <c r="AJ45" s="189"/>
      <c r="AK45" s="189"/>
      <c r="AL45" s="189"/>
      <c r="AM45" s="189"/>
      <c r="AN45" s="189"/>
      <c r="AO45" s="189"/>
      <c r="AP45" s="189"/>
      <c r="AQ45" s="189"/>
      <c r="AR45" s="7" t="s">
        <v>26</v>
      </c>
      <c r="AS45" s="7"/>
      <c r="AT45" s="189"/>
      <c r="AU45" s="189"/>
      <c r="AV45" s="7" t="s">
        <v>26</v>
      </c>
      <c r="AW45" s="7"/>
      <c r="AX45" s="7" t="s">
        <v>26</v>
      </c>
      <c r="AY45" s="7"/>
      <c r="AZ45" s="7" t="s">
        <v>26</v>
      </c>
      <c r="BA45" s="7" t="s">
        <v>26</v>
      </c>
      <c r="BB45" s="7"/>
      <c r="BC45" s="7" t="s">
        <v>26</v>
      </c>
      <c r="BD45" s="7" t="s">
        <v>26</v>
      </c>
      <c r="BE45" s="7"/>
      <c r="BF45" s="7"/>
      <c r="BG45" s="193"/>
      <c r="BH45" s="191" t="s">
        <v>26</v>
      </c>
      <c r="BI45" s="7"/>
      <c r="BJ45" s="7" t="s">
        <v>26</v>
      </c>
      <c r="BK45" s="7" t="s">
        <v>26</v>
      </c>
      <c r="BL45" s="7"/>
      <c r="BM45" s="7"/>
      <c r="BN45" s="193"/>
      <c r="BO45" s="191" t="s">
        <v>26</v>
      </c>
      <c r="BP45" s="191"/>
    </row>
    <row r="46">
      <c r="A46" s="73">
        <v>45.0</v>
      </c>
      <c r="B46" s="7"/>
      <c r="C46" s="73"/>
      <c r="D46" s="77"/>
      <c r="E46" s="77"/>
      <c r="F46" s="77"/>
      <c r="G46" s="77"/>
      <c r="H46" s="77"/>
      <c r="I46" s="77"/>
      <c r="J46" s="77"/>
      <c r="K46" s="77"/>
      <c r="L46" s="77"/>
      <c r="M46" s="77"/>
      <c r="N46" s="77"/>
      <c r="O46" s="77"/>
      <c r="P46" s="77"/>
      <c r="Q46" s="77"/>
      <c r="R46" s="77"/>
      <c r="S46" s="187" t="str">
        <f t="shared" si="2"/>
        <v/>
      </c>
      <c r="T46" s="188"/>
      <c r="U46" s="188"/>
      <c r="V46" s="189"/>
      <c r="W46" s="189"/>
      <c r="X46" s="189"/>
      <c r="Y46" s="7" t="s">
        <v>26</v>
      </c>
      <c r="Z46" s="189"/>
      <c r="AA46" s="7" t="s">
        <v>26</v>
      </c>
      <c r="AB46" s="189"/>
      <c r="AC46" s="189"/>
      <c r="AD46" s="189"/>
      <c r="AE46" s="189"/>
      <c r="AF46" s="189"/>
      <c r="AG46" s="189"/>
      <c r="AH46" s="189"/>
      <c r="AI46" s="189"/>
      <c r="AJ46" s="189"/>
      <c r="AK46" s="189"/>
      <c r="AL46" s="189"/>
      <c r="AM46" s="189"/>
      <c r="AN46" s="189"/>
      <c r="AO46" s="189"/>
      <c r="AP46" s="189"/>
      <c r="AQ46" s="189"/>
      <c r="AR46" s="7" t="s">
        <v>26</v>
      </c>
      <c r="AS46" s="7"/>
      <c r="AT46" s="189"/>
      <c r="AU46" s="189"/>
      <c r="AV46" s="7" t="s">
        <v>26</v>
      </c>
      <c r="AW46" s="7"/>
      <c r="AX46" s="7" t="s">
        <v>26</v>
      </c>
      <c r="AY46" s="7"/>
      <c r="AZ46" s="7" t="s">
        <v>26</v>
      </c>
      <c r="BA46" s="7" t="s">
        <v>26</v>
      </c>
      <c r="BB46" s="7"/>
      <c r="BC46" s="7" t="s">
        <v>26</v>
      </c>
      <c r="BD46" s="7" t="s">
        <v>26</v>
      </c>
      <c r="BE46" s="7"/>
      <c r="BF46" s="7"/>
      <c r="BG46" s="193"/>
      <c r="BH46" s="191" t="s">
        <v>26</v>
      </c>
      <c r="BI46" s="7"/>
      <c r="BJ46" s="7" t="s">
        <v>26</v>
      </c>
      <c r="BK46" s="7" t="s">
        <v>26</v>
      </c>
      <c r="BL46" s="7"/>
      <c r="BM46" s="7"/>
      <c r="BN46" s="193"/>
      <c r="BO46" s="191" t="s">
        <v>26</v>
      </c>
      <c r="BP46" s="191"/>
    </row>
    <row r="47">
      <c r="A47" s="73">
        <v>46.0</v>
      </c>
      <c r="B47" s="7"/>
      <c r="C47" s="73"/>
      <c r="D47" s="77"/>
      <c r="E47" s="77"/>
      <c r="F47" s="77"/>
      <c r="G47" s="77"/>
      <c r="H47" s="77"/>
      <c r="I47" s="77"/>
      <c r="J47" s="77"/>
      <c r="K47" s="77"/>
      <c r="L47" s="77"/>
      <c r="M47" s="77"/>
      <c r="N47" s="77"/>
      <c r="O47" s="77"/>
      <c r="P47" s="77"/>
      <c r="Q47" s="77"/>
      <c r="R47" s="77"/>
      <c r="S47" s="187" t="str">
        <f t="shared" si="2"/>
        <v/>
      </c>
      <c r="T47" s="188"/>
      <c r="U47" s="188"/>
      <c r="V47" s="189"/>
      <c r="W47" s="189"/>
      <c r="X47" s="189"/>
      <c r="Y47" s="7" t="s">
        <v>26</v>
      </c>
      <c r="Z47" s="189"/>
      <c r="AA47" s="7" t="s">
        <v>26</v>
      </c>
      <c r="AB47" s="189"/>
      <c r="AC47" s="189"/>
      <c r="AD47" s="189"/>
      <c r="AE47" s="189"/>
      <c r="AF47" s="189"/>
      <c r="AG47" s="189"/>
      <c r="AH47" s="189"/>
      <c r="AI47" s="189"/>
      <c r="AJ47" s="189"/>
      <c r="AK47" s="189"/>
      <c r="AL47" s="189"/>
      <c r="AM47" s="189"/>
      <c r="AN47" s="189"/>
      <c r="AO47" s="189"/>
      <c r="AP47" s="189"/>
      <c r="AQ47" s="189"/>
      <c r="AR47" s="7" t="s">
        <v>26</v>
      </c>
      <c r="AS47" s="7"/>
      <c r="AT47" s="189"/>
      <c r="AU47" s="189"/>
      <c r="AV47" s="7" t="s">
        <v>26</v>
      </c>
      <c r="AW47" s="7"/>
      <c r="AX47" s="7" t="s">
        <v>26</v>
      </c>
      <c r="AY47" s="7"/>
      <c r="AZ47" s="7" t="s">
        <v>26</v>
      </c>
      <c r="BA47" s="7" t="s">
        <v>26</v>
      </c>
      <c r="BB47" s="7"/>
      <c r="BC47" s="7" t="s">
        <v>26</v>
      </c>
      <c r="BD47" s="7" t="s">
        <v>26</v>
      </c>
      <c r="BE47" s="7"/>
      <c r="BF47" s="7"/>
      <c r="BG47" s="193"/>
      <c r="BH47" s="191" t="s">
        <v>26</v>
      </c>
      <c r="BI47" s="7"/>
      <c r="BJ47" s="7" t="s">
        <v>26</v>
      </c>
      <c r="BK47" s="7" t="s">
        <v>26</v>
      </c>
      <c r="BL47" s="7"/>
      <c r="BM47" s="7"/>
      <c r="BN47" s="193"/>
      <c r="BO47" s="191" t="s">
        <v>26</v>
      </c>
      <c r="BP47" s="191"/>
    </row>
    <row r="48">
      <c r="A48" s="73">
        <v>47.0</v>
      </c>
      <c r="B48" s="7"/>
      <c r="C48" s="73"/>
      <c r="D48" s="77"/>
      <c r="E48" s="77"/>
      <c r="F48" s="77"/>
      <c r="G48" s="77"/>
      <c r="H48" s="77"/>
      <c r="I48" s="77"/>
      <c r="J48" s="77"/>
      <c r="K48" s="77"/>
      <c r="L48" s="77"/>
      <c r="M48" s="77"/>
      <c r="N48" s="77"/>
      <c r="O48" s="77"/>
      <c r="P48" s="77"/>
      <c r="Q48" s="77"/>
      <c r="R48" s="77"/>
      <c r="S48" s="187" t="str">
        <f t="shared" si="2"/>
        <v/>
      </c>
      <c r="T48" s="188"/>
      <c r="U48" s="188"/>
      <c r="V48" s="189"/>
      <c r="W48" s="189"/>
      <c r="X48" s="189"/>
      <c r="Y48" s="7" t="s">
        <v>26</v>
      </c>
      <c r="Z48" s="189"/>
      <c r="AA48" s="7" t="s">
        <v>26</v>
      </c>
      <c r="AB48" s="189"/>
      <c r="AC48" s="189"/>
      <c r="AD48" s="189"/>
      <c r="AE48" s="189"/>
      <c r="AF48" s="189"/>
      <c r="AG48" s="189"/>
      <c r="AH48" s="189"/>
      <c r="AI48" s="189"/>
      <c r="AJ48" s="189"/>
      <c r="AK48" s="189"/>
      <c r="AL48" s="189"/>
      <c r="AM48" s="189"/>
      <c r="AN48" s="189"/>
      <c r="AO48" s="189"/>
      <c r="AP48" s="189"/>
      <c r="AQ48" s="189"/>
      <c r="AR48" s="7" t="s">
        <v>26</v>
      </c>
      <c r="AS48" s="7"/>
      <c r="AT48" s="189"/>
      <c r="AU48" s="189"/>
      <c r="AV48" s="7" t="s">
        <v>26</v>
      </c>
      <c r="AW48" s="7"/>
      <c r="AX48" s="7" t="s">
        <v>26</v>
      </c>
      <c r="AY48" s="7"/>
      <c r="AZ48" s="7" t="s">
        <v>26</v>
      </c>
      <c r="BA48" s="7" t="s">
        <v>26</v>
      </c>
      <c r="BB48" s="7"/>
      <c r="BC48" s="7" t="s">
        <v>26</v>
      </c>
      <c r="BD48" s="7" t="s">
        <v>26</v>
      </c>
      <c r="BE48" s="7"/>
      <c r="BF48" s="7"/>
      <c r="BG48" s="193"/>
      <c r="BH48" s="191" t="s">
        <v>26</v>
      </c>
      <c r="BI48" s="7"/>
      <c r="BJ48" s="7" t="s">
        <v>26</v>
      </c>
      <c r="BK48" s="7" t="s">
        <v>26</v>
      </c>
      <c r="BL48" s="7"/>
      <c r="BM48" s="7"/>
      <c r="BN48" s="193"/>
      <c r="BO48" s="191" t="s">
        <v>26</v>
      </c>
      <c r="BP48" s="191"/>
    </row>
    <row r="49">
      <c r="A49" s="73">
        <v>48.0</v>
      </c>
      <c r="B49" s="189"/>
      <c r="C49" s="77"/>
      <c r="D49" s="77"/>
      <c r="E49" s="77"/>
      <c r="F49" s="77"/>
      <c r="G49" s="77"/>
      <c r="H49" s="77"/>
      <c r="I49" s="77"/>
      <c r="J49" s="77"/>
      <c r="K49" s="77"/>
      <c r="L49" s="77"/>
      <c r="M49" s="77"/>
      <c r="N49" s="77"/>
      <c r="O49" s="77"/>
      <c r="P49" s="77"/>
      <c r="Q49" s="77"/>
      <c r="R49" s="77"/>
      <c r="S49" s="187" t="str">
        <f t="shared" si="2"/>
        <v/>
      </c>
      <c r="T49" s="188"/>
      <c r="U49" s="188"/>
      <c r="V49" s="189"/>
      <c r="W49" s="189"/>
      <c r="X49" s="189"/>
      <c r="Y49" s="7" t="s">
        <v>26</v>
      </c>
      <c r="Z49" s="189"/>
      <c r="AA49" s="7" t="s">
        <v>26</v>
      </c>
      <c r="AB49" s="189"/>
      <c r="AC49" s="189"/>
      <c r="AD49" s="189"/>
      <c r="AE49" s="189"/>
      <c r="AF49" s="189"/>
      <c r="AG49" s="189"/>
      <c r="AH49" s="189"/>
      <c r="AI49" s="189"/>
      <c r="AJ49" s="189"/>
      <c r="AK49" s="189"/>
      <c r="AL49" s="189"/>
      <c r="AM49" s="189"/>
      <c r="AN49" s="189"/>
      <c r="AO49" s="189"/>
      <c r="AP49" s="189"/>
      <c r="AQ49" s="189"/>
      <c r="AR49" s="7" t="s">
        <v>26</v>
      </c>
      <c r="AS49" s="7"/>
      <c r="AT49" s="189"/>
      <c r="AU49" s="189"/>
      <c r="AV49" s="7" t="s">
        <v>26</v>
      </c>
      <c r="AW49" s="7"/>
      <c r="AX49" s="7" t="s">
        <v>26</v>
      </c>
      <c r="AY49" s="7"/>
      <c r="AZ49" s="7" t="s">
        <v>26</v>
      </c>
      <c r="BA49" s="7" t="s">
        <v>26</v>
      </c>
      <c r="BB49" s="7"/>
      <c r="BC49" s="7" t="s">
        <v>26</v>
      </c>
      <c r="BD49" s="7" t="s">
        <v>26</v>
      </c>
      <c r="BE49" s="7"/>
      <c r="BF49" s="7"/>
      <c r="BG49" s="193"/>
      <c r="BH49" s="191" t="s">
        <v>26</v>
      </c>
      <c r="BI49" s="7"/>
      <c r="BJ49" s="7" t="s">
        <v>26</v>
      </c>
      <c r="BK49" s="7" t="s">
        <v>26</v>
      </c>
      <c r="BL49" s="7"/>
      <c r="BM49" s="7"/>
      <c r="BN49" s="193"/>
      <c r="BO49" s="191" t="s">
        <v>26</v>
      </c>
      <c r="BP49" s="191"/>
    </row>
    <row r="50">
      <c r="A50" s="73">
        <v>49.0</v>
      </c>
      <c r="B50" s="189"/>
      <c r="C50" s="77"/>
      <c r="D50" s="77"/>
      <c r="E50" s="77"/>
      <c r="F50" s="77"/>
      <c r="G50" s="77"/>
      <c r="H50" s="77"/>
      <c r="I50" s="77"/>
      <c r="J50" s="77"/>
      <c r="K50" s="77"/>
      <c r="L50" s="77"/>
      <c r="M50" s="77"/>
      <c r="N50" s="77"/>
      <c r="O50" s="77"/>
      <c r="P50" s="77"/>
      <c r="Q50" s="77"/>
      <c r="R50" s="77"/>
      <c r="S50" s="187" t="str">
        <f t="shared" si="2"/>
        <v/>
      </c>
      <c r="T50" s="188"/>
      <c r="U50" s="188"/>
      <c r="V50" s="189"/>
      <c r="W50" s="189"/>
      <c r="X50" s="189"/>
      <c r="Y50" s="7" t="s">
        <v>26</v>
      </c>
      <c r="Z50" s="189"/>
      <c r="AA50" s="7" t="s">
        <v>26</v>
      </c>
      <c r="AB50" s="189"/>
      <c r="AC50" s="189"/>
      <c r="AD50" s="189"/>
      <c r="AE50" s="189"/>
      <c r="AF50" s="189"/>
      <c r="AG50" s="189"/>
      <c r="AH50" s="189"/>
      <c r="AI50" s="189"/>
      <c r="AJ50" s="189"/>
      <c r="AK50" s="189"/>
      <c r="AL50" s="189"/>
      <c r="AM50" s="189"/>
      <c r="AN50" s="189"/>
      <c r="AO50" s="189"/>
      <c r="AP50" s="189"/>
      <c r="AQ50" s="189"/>
      <c r="AR50" s="7" t="s">
        <v>26</v>
      </c>
      <c r="AS50" s="7"/>
      <c r="AT50" s="189"/>
      <c r="AU50" s="189"/>
      <c r="AV50" s="7" t="s">
        <v>26</v>
      </c>
      <c r="AW50" s="7"/>
      <c r="AX50" s="7" t="s">
        <v>26</v>
      </c>
      <c r="AY50" s="7"/>
      <c r="AZ50" s="7" t="s">
        <v>26</v>
      </c>
      <c r="BA50" s="7" t="s">
        <v>26</v>
      </c>
      <c r="BB50" s="7"/>
      <c r="BC50" s="7" t="s">
        <v>26</v>
      </c>
      <c r="BD50" s="7" t="s">
        <v>26</v>
      </c>
      <c r="BE50" s="7"/>
      <c r="BF50" s="7"/>
      <c r="BG50" s="193"/>
      <c r="BH50" s="191" t="s">
        <v>26</v>
      </c>
      <c r="BI50" s="7"/>
      <c r="BJ50" s="7" t="s">
        <v>26</v>
      </c>
      <c r="BK50" s="7" t="s">
        <v>26</v>
      </c>
      <c r="BL50" s="7"/>
      <c r="BM50" s="7"/>
      <c r="BN50" s="193"/>
      <c r="BO50" s="191" t="s">
        <v>26</v>
      </c>
      <c r="BP50" s="191"/>
    </row>
    <row r="51">
      <c r="A51" s="73">
        <v>50.0</v>
      </c>
      <c r="B51" s="189"/>
      <c r="C51" s="77"/>
      <c r="D51" s="77"/>
      <c r="E51" s="77"/>
      <c r="F51" s="77"/>
      <c r="G51" s="77"/>
      <c r="H51" s="77"/>
      <c r="I51" s="77"/>
      <c r="J51" s="77"/>
      <c r="K51" s="77"/>
      <c r="L51" s="77"/>
      <c r="M51" s="77"/>
      <c r="N51" s="77"/>
      <c r="O51" s="77"/>
      <c r="P51" s="77"/>
      <c r="Q51" s="77"/>
      <c r="R51" s="77"/>
      <c r="S51" s="187" t="str">
        <f t="shared" si="2"/>
        <v/>
      </c>
      <c r="T51" s="188"/>
      <c r="U51" s="188"/>
      <c r="V51" s="189"/>
      <c r="W51" s="189"/>
      <c r="X51" s="189"/>
      <c r="Y51" s="7" t="s">
        <v>26</v>
      </c>
      <c r="Z51" s="189"/>
      <c r="AA51" s="7" t="s">
        <v>26</v>
      </c>
      <c r="AB51" s="189"/>
      <c r="AC51" s="189"/>
      <c r="AD51" s="189"/>
      <c r="AE51" s="189"/>
      <c r="AF51" s="189"/>
      <c r="AG51" s="189"/>
      <c r="AH51" s="189"/>
      <c r="AI51" s="189"/>
      <c r="AJ51" s="189"/>
      <c r="AK51" s="189"/>
      <c r="AL51" s="189"/>
      <c r="AM51" s="189"/>
      <c r="AN51" s="189"/>
      <c r="AO51" s="189"/>
      <c r="AP51" s="189"/>
      <c r="AQ51" s="189"/>
      <c r="AR51" s="7" t="s">
        <v>26</v>
      </c>
      <c r="AS51" s="7"/>
      <c r="AT51" s="189"/>
      <c r="AU51" s="189"/>
      <c r="AV51" s="7" t="s">
        <v>26</v>
      </c>
      <c r="AW51" s="7"/>
      <c r="AX51" s="7" t="s">
        <v>26</v>
      </c>
      <c r="AY51" s="7"/>
      <c r="AZ51" s="7" t="s">
        <v>26</v>
      </c>
      <c r="BA51" s="7" t="s">
        <v>26</v>
      </c>
      <c r="BB51" s="7"/>
      <c r="BC51" s="7" t="s">
        <v>26</v>
      </c>
      <c r="BD51" s="7" t="s">
        <v>26</v>
      </c>
      <c r="BE51" s="7"/>
      <c r="BF51" s="7"/>
      <c r="BG51" s="193"/>
      <c r="BH51" s="191" t="s">
        <v>26</v>
      </c>
      <c r="BI51" s="7"/>
      <c r="BJ51" s="7" t="s">
        <v>26</v>
      </c>
      <c r="BK51" s="7" t="s">
        <v>26</v>
      </c>
      <c r="BL51" s="7"/>
      <c r="BM51" s="7"/>
      <c r="BN51" s="193"/>
      <c r="BO51" s="191" t="s">
        <v>26</v>
      </c>
      <c r="BP51" s="191"/>
    </row>
    <row r="52">
      <c r="A52" s="73">
        <v>51.0</v>
      </c>
      <c r="B52" s="189"/>
      <c r="C52" s="77"/>
      <c r="D52" s="77"/>
      <c r="E52" s="77"/>
      <c r="F52" s="77"/>
      <c r="G52" s="77"/>
      <c r="H52" s="77"/>
      <c r="I52" s="77"/>
      <c r="J52" s="77"/>
      <c r="K52" s="77"/>
      <c r="L52" s="77"/>
      <c r="M52" s="77"/>
      <c r="N52" s="77"/>
      <c r="O52" s="77"/>
      <c r="P52" s="77"/>
      <c r="Q52" s="77"/>
      <c r="R52" s="77"/>
      <c r="S52" s="187" t="str">
        <f t="shared" si="2"/>
        <v/>
      </c>
      <c r="T52" s="188"/>
      <c r="U52" s="188"/>
      <c r="V52" s="189"/>
      <c r="W52" s="189"/>
      <c r="X52" s="189"/>
      <c r="Y52" s="7" t="s">
        <v>26</v>
      </c>
      <c r="Z52" s="189"/>
      <c r="AA52" s="7" t="s">
        <v>26</v>
      </c>
      <c r="AB52" s="189"/>
      <c r="AC52" s="189"/>
      <c r="AD52" s="189"/>
      <c r="AE52" s="189"/>
      <c r="AF52" s="189"/>
      <c r="AG52" s="189"/>
      <c r="AH52" s="189"/>
      <c r="AI52" s="189"/>
      <c r="AJ52" s="189"/>
      <c r="AK52" s="189"/>
      <c r="AL52" s="189"/>
      <c r="AM52" s="189"/>
      <c r="AN52" s="189"/>
      <c r="AO52" s="189"/>
      <c r="AP52" s="189"/>
      <c r="AQ52" s="189"/>
      <c r="AR52" s="7" t="s">
        <v>26</v>
      </c>
      <c r="AS52" s="7"/>
      <c r="AT52" s="189"/>
      <c r="AU52" s="189"/>
      <c r="AV52" s="7" t="s">
        <v>26</v>
      </c>
      <c r="AW52" s="7"/>
      <c r="AX52" s="7" t="s">
        <v>26</v>
      </c>
      <c r="AY52" s="7"/>
      <c r="AZ52" s="7" t="s">
        <v>26</v>
      </c>
      <c r="BA52" s="7" t="s">
        <v>26</v>
      </c>
      <c r="BB52" s="7"/>
      <c r="BC52" s="7" t="s">
        <v>26</v>
      </c>
      <c r="BD52" s="7" t="s">
        <v>26</v>
      </c>
      <c r="BE52" s="7"/>
      <c r="BF52" s="7"/>
      <c r="BG52" s="193"/>
      <c r="BH52" s="191" t="s">
        <v>26</v>
      </c>
      <c r="BI52" s="7"/>
      <c r="BJ52" s="7" t="s">
        <v>26</v>
      </c>
      <c r="BK52" s="7" t="s">
        <v>26</v>
      </c>
      <c r="BL52" s="7"/>
      <c r="BM52" s="7"/>
      <c r="BN52" s="193"/>
      <c r="BO52" s="191" t="s">
        <v>26</v>
      </c>
      <c r="BP52" s="191"/>
    </row>
    <row r="53">
      <c r="A53" s="73">
        <v>52.0</v>
      </c>
      <c r="B53" s="189"/>
      <c r="C53" s="77"/>
      <c r="D53" s="77"/>
      <c r="E53" s="77"/>
      <c r="F53" s="77"/>
      <c r="G53" s="77"/>
      <c r="H53" s="77"/>
      <c r="I53" s="77"/>
      <c r="J53" s="77"/>
      <c r="K53" s="77"/>
      <c r="L53" s="77"/>
      <c r="M53" s="77"/>
      <c r="N53" s="77"/>
      <c r="O53" s="77"/>
      <c r="P53" s="77"/>
      <c r="Q53" s="77"/>
      <c r="R53" s="77"/>
      <c r="S53" s="187" t="str">
        <f t="shared" si="2"/>
        <v/>
      </c>
      <c r="T53" s="188"/>
      <c r="U53" s="188"/>
      <c r="V53" s="189"/>
      <c r="W53" s="189"/>
      <c r="X53" s="189"/>
      <c r="Y53" s="7" t="s">
        <v>26</v>
      </c>
      <c r="Z53" s="189"/>
      <c r="AA53" s="7" t="s">
        <v>26</v>
      </c>
      <c r="AB53" s="189"/>
      <c r="AC53" s="189"/>
      <c r="AD53" s="189"/>
      <c r="AE53" s="189"/>
      <c r="AF53" s="189"/>
      <c r="AG53" s="189"/>
      <c r="AH53" s="189"/>
      <c r="AI53" s="189"/>
      <c r="AJ53" s="189"/>
      <c r="AK53" s="189"/>
      <c r="AL53" s="189"/>
      <c r="AM53" s="189"/>
      <c r="AN53" s="189"/>
      <c r="AO53" s="189"/>
      <c r="AP53" s="189"/>
      <c r="AQ53" s="189"/>
      <c r="AR53" s="7" t="s">
        <v>26</v>
      </c>
      <c r="AS53" s="7"/>
      <c r="AT53" s="189"/>
      <c r="AU53" s="189"/>
      <c r="AV53" s="7" t="s">
        <v>26</v>
      </c>
      <c r="AW53" s="7"/>
      <c r="AX53" s="7" t="s">
        <v>26</v>
      </c>
      <c r="AY53" s="7"/>
      <c r="AZ53" s="7" t="s">
        <v>26</v>
      </c>
      <c r="BA53" s="7" t="s">
        <v>26</v>
      </c>
      <c r="BB53" s="7"/>
      <c r="BC53" s="7" t="s">
        <v>26</v>
      </c>
      <c r="BD53" s="7" t="s">
        <v>26</v>
      </c>
      <c r="BE53" s="7"/>
      <c r="BF53" s="7"/>
      <c r="BG53" s="193"/>
      <c r="BH53" s="191" t="s">
        <v>26</v>
      </c>
      <c r="BI53" s="7"/>
      <c r="BJ53" s="7" t="s">
        <v>26</v>
      </c>
      <c r="BK53" s="7" t="s">
        <v>26</v>
      </c>
      <c r="BL53" s="7"/>
      <c r="BM53" s="7"/>
      <c r="BN53" s="193"/>
      <c r="BO53" s="191" t="s">
        <v>26</v>
      </c>
      <c r="BP53" s="191"/>
    </row>
    <row r="54">
      <c r="A54" s="73">
        <v>53.0</v>
      </c>
      <c r="B54" s="189"/>
      <c r="C54" s="77"/>
      <c r="D54" s="77"/>
      <c r="E54" s="77"/>
      <c r="F54" s="77"/>
      <c r="G54" s="77"/>
      <c r="H54" s="77"/>
      <c r="I54" s="77"/>
      <c r="J54" s="77"/>
      <c r="K54" s="77"/>
      <c r="L54" s="77"/>
      <c r="M54" s="77"/>
      <c r="N54" s="77"/>
      <c r="O54" s="77"/>
      <c r="P54" s="77"/>
      <c r="Q54" s="77"/>
      <c r="R54" s="77"/>
      <c r="S54" s="187" t="str">
        <f t="shared" si="2"/>
        <v/>
      </c>
      <c r="T54" s="188"/>
      <c r="U54" s="188"/>
      <c r="V54" s="189"/>
      <c r="W54" s="189"/>
      <c r="X54" s="189"/>
      <c r="Y54" s="7" t="s">
        <v>26</v>
      </c>
      <c r="Z54" s="189"/>
      <c r="AA54" s="7" t="s">
        <v>26</v>
      </c>
      <c r="AB54" s="189"/>
      <c r="AC54" s="189"/>
      <c r="AD54" s="189"/>
      <c r="AE54" s="189"/>
      <c r="AF54" s="189"/>
      <c r="AG54" s="189"/>
      <c r="AH54" s="189"/>
      <c r="AI54" s="189"/>
      <c r="AJ54" s="189"/>
      <c r="AK54" s="189"/>
      <c r="AL54" s="189"/>
      <c r="AM54" s="189"/>
      <c r="AN54" s="189"/>
      <c r="AO54" s="189"/>
      <c r="AP54" s="189"/>
      <c r="AQ54" s="189"/>
      <c r="AR54" s="7" t="s">
        <v>26</v>
      </c>
      <c r="AS54" s="7"/>
      <c r="AT54" s="189"/>
      <c r="AU54" s="189"/>
      <c r="AV54" s="7" t="s">
        <v>26</v>
      </c>
      <c r="AW54" s="7"/>
      <c r="AX54" s="7" t="s">
        <v>26</v>
      </c>
      <c r="AY54" s="7"/>
      <c r="AZ54" s="7" t="s">
        <v>26</v>
      </c>
      <c r="BA54" s="7" t="s">
        <v>26</v>
      </c>
      <c r="BB54" s="7"/>
      <c r="BC54" s="7" t="s">
        <v>26</v>
      </c>
      <c r="BD54" s="7" t="s">
        <v>26</v>
      </c>
      <c r="BE54" s="7"/>
      <c r="BF54" s="7"/>
      <c r="BG54" s="193"/>
      <c r="BH54" s="191" t="s">
        <v>26</v>
      </c>
      <c r="BI54" s="7"/>
      <c r="BJ54" s="7" t="s">
        <v>26</v>
      </c>
      <c r="BK54" s="7" t="s">
        <v>26</v>
      </c>
      <c r="BL54" s="7"/>
      <c r="BM54" s="7"/>
      <c r="BN54" s="193"/>
      <c r="BO54" s="191" t="s">
        <v>26</v>
      </c>
      <c r="BP54" s="191"/>
    </row>
    <row r="55">
      <c r="A55" s="73">
        <v>54.0</v>
      </c>
      <c r="B55" s="189"/>
      <c r="C55" s="77"/>
      <c r="D55" s="77"/>
      <c r="E55" s="77"/>
      <c r="F55" s="77"/>
      <c r="G55" s="77"/>
      <c r="H55" s="77"/>
      <c r="I55" s="77"/>
      <c r="J55" s="77"/>
      <c r="K55" s="77"/>
      <c r="L55" s="77"/>
      <c r="M55" s="77"/>
      <c r="N55" s="77"/>
      <c r="O55" s="77"/>
      <c r="P55" s="77"/>
      <c r="Q55" s="77"/>
      <c r="R55" s="77"/>
      <c r="S55" s="187" t="str">
        <f t="shared" si="2"/>
        <v/>
      </c>
      <c r="T55" s="188"/>
      <c r="U55" s="188"/>
      <c r="V55" s="189"/>
      <c r="W55" s="189"/>
      <c r="X55" s="189"/>
      <c r="Y55" s="7" t="s">
        <v>26</v>
      </c>
      <c r="Z55" s="189"/>
      <c r="AA55" s="7" t="s">
        <v>26</v>
      </c>
      <c r="AB55" s="189"/>
      <c r="AC55" s="189"/>
      <c r="AD55" s="189"/>
      <c r="AE55" s="189"/>
      <c r="AF55" s="189"/>
      <c r="AG55" s="189"/>
      <c r="AH55" s="189"/>
      <c r="AI55" s="189"/>
      <c r="AJ55" s="189"/>
      <c r="AK55" s="189"/>
      <c r="AL55" s="189"/>
      <c r="AM55" s="189"/>
      <c r="AN55" s="189"/>
      <c r="AO55" s="189"/>
      <c r="AP55" s="189"/>
      <c r="AQ55" s="189"/>
      <c r="AR55" s="7" t="s">
        <v>26</v>
      </c>
      <c r="AS55" s="7"/>
      <c r="AT55" s="189"/>
      <c r="AU55" s="189"/>
      <c r="AV55" s="7" t="s">
        <v>26</v>
      </c>
      <c r="AW55" s="7"/>
      <c r="AX55" s="7" t="s">
        <v>26</v>
      </c>
      <c r="AY55" s="7"/>
      <c r="AZ55" s="7" t="s">
        <v>26</v>
      </c>
      <c r="BA55" s="7" t="s">
        <v>26</v>
      </c>
      <c r="BB55" s="7"/>
      <c r="BC55" s="7" t="s">
        <v>26</v>
      </c>
      <c r="BD55" s="7" t="s">
        <v>26</v>
      </c>
      <c r="BE55" s="7"/>
      <c r="BF55" s="7"/>
      <c r="BG55" s="193"/>
      <c r="BH55" s="191" t="s">
        <v>26</v>
      </c>
      <c r="BI55" s="7"/>
      <c r="BJ55" s="7" t="s">
        <v>26</v>
      </c>
      <c r="BK55" s="7" t="s">
        <v>26</v>
      </c>
      <c r="BL55" s="7"/>
      <c r="BM55" s="7"/>
      <c r="BN55" s="193"/>
      <c r="BO55" s="191" t="s">
        <v>26</v>
      </c>
      <c r="BP55" s="191"/>
    </row>
    <row r="56">
      <c r="A56" s="73"/>
      <c r="B56" s="7"/>
      <c r="C56" s="7">
        <v>1.0</v>
      </c>
      <c r="D56" s="7">
        <v>2.0</v>
      </c>
      <c r="E56" s="7">
        <v>3.0</v>
      </c>
      <c r="F56" s="7">
        <v>4.0</v>
      </c>
      <c r="G56" s="7">
        <v>5.0</v>
      </c>
      <c r="H56" s="7">
        <v>6.0</v>
      </c>
      <c r="I56" s="7">
        <v>7.0</v>
      </c>
      <c r="J56" s="7">
        <v>8.0</v>
      </c>
      <c r="K56" s="7">
        <v>9.0</v>
      </c>
      <c r="L56" s="7">
        <v>10.0</v>
      </c>
      <c r="M56" s="7">
        <v>11.0</v>
      </c>
      <c r="N56" s="7">
        <v>12.0</v>
      </c>
      <c r="O56" s="7">
        <v>13.0</v>
      </c>
      <c r="P56" s="7">
        <v>14.0</v>
      </c>
      <c r="Q56" s="7">
        <v>15.0</v>
      </c>
      <c r="R56" s="7">
        <v>16.0</v>
      </c>
      <c r="S56" s="7">
        <v>17.0</v>
      </c>
      <c r="T56" s="7">
        <v>18.0</v>
      </c>
      <c r="U56" s="7">
        <v>19.0</v>
      </c>
      <c r="V56" s="7">
        <v>20.0</v>
      </c>
      <c r="W56" s="7">
        <v>21.0</v>
      </c>
      <c r="X56" s="7">
        <v>22.0</v>
      </c>
      <c r="Y56" s="7">
        <v>23.0</v>
      </c>
      <c r="Z56" s="7">
        <v>24.0</v>
      </c>
      <c r="AA56" s="7">
        <v>25.0</v>
      </c>
      <c r="AB56" s="7">
        <v>26.0</v>
      </c>
      <c r="AC56" s="7">
        <v>27.0</v>
      </c>
      <c r="AD56" s="7">
        <v>28.0</v>
      </c>
      <c r="AE56" s="7">
        <v>29.0</v>
      </c>
      <c r="AF56" s="7">
        <v>30.0</v>
      </c>
      <c r="AG56" s="7">
        <v>31.0</v>
      </c>
      <c r="AH56" s="7">
        <v>32.0</v>
      </c>
      <c r="AI56" s="7">
        <v>33.0</v>
      </c>
      <c r="AJ56" s="7">
        <v>34.0</v>
      </c>
      <c r="AK56" s="7">
        <v>35.0</v>
      </c>
      <c r="AL56" s="7">
        <v>36.0</v>
      </c>
      <c r="AM56" s="7">
        <v>37.0</v>
      </c>
      <c r="AN56" s="7">
        <v>38.0</v>
      </c>
      <c r="AO56" s="7">
        <v>39.0</v>
      </c>
      <c r="AP56" s="7">
        <v>40.0</v>
      </c>
      <c r="AQ56" s="7">
        <v>41.0</v>
      </c>
      <c r="AR56" s="7">
        <v>42.0</v>
      </c>
      <c r="AS56" s="7">
        <v>43.0</v>
      </c>
      <c r="AT56" s="7">
        <v>44.0</v>
      </c>
      <c r="AU56" s="7">
        <v>45.0</v>
      </c>
      <c r="AV56" s="7">
        <v>46.0</v>
      </c>
      <c r="AW56" s="7">
        <v>47.0</v>
      </c>
      <c r="AX56" s="7">
        <v>48.0</v>
      </c>
      <c r="AY56" s="7">
        <v>49.0</v>
      </c>
      <c r="AZ56" s="7">
        <v>50.0</v>
      </c>
      <c r="BA56" s="7">
        <v>51.0</v>
      </c>
      <c r="BB56" s="7">
        <v>52.0</v>
      </c>
      <c r="BC56" s="7">
        <v>53.0</v>
      </c>
      <c r="BD56" s="7">
        <v>54.0</v>
      </c>
      <c r="BE56" s="7">
        <v>55.0</v>
      </c>
      <c r="BF56" s="7">
        <v>56.0</v>
      </c>
      <c r="BG56" s="7">
        <v>57.0</v>
      </c>
      <c r="BH56" s="7">
        <v>58.0</v>
      </c>
      <c r="BI56" s="7">
        <v>59.0</v>
      </c>
      <c r="BJ56" s="7">
        <v>60.0</v>
      </c>
      <c r="BK56" s="7">
        <v>61.0</v>
      </c>
      <c r="BL56" s="7">
        <v>62.0</v>
      </c>
      <c r="BM56" s="7">
        <v>63.0</v>
      </c>
      <c r="BN56" s="7">
        <v>64.0</v>
      </c>
      <c r="BO56" s="7">
        <v>65.0</v>
      </c>
      <c r="BP56" s="7">
        <v>66.0</v>
      </c>
    </row>
    <row r="57">
      <c r="A57" s="225"/>
      <c r="B57" s="225"/>
      <c r="C57" s="226"/>
      <c r="D57" s="227"/>
      <c r="F57" s="227"/>
      <c r="H57" s="227"/>
      <c r="J57" s="226"/>
      <c r="K57" s="226"/>
      <c r="L57" s="226"/>
      <c r="M57" s="228"/>
      <c r="N57" s="228"/>
      <c r="O57" s="228"/>
      <c r="P57" s="228"/>
      <c r="Q57" s="228"/>
      <c r="R57" s="229"/>
      <c r="S57" s="230"/>
      <c r="T57" s="231"/>
      <c r="U57" s="231"/>
      <c r="V57" s="232"/>
      <c r="W57" s="232"/>
      <c r="X57" s="232"/>
      <c r="Y57" s="233"/>
      <c r="Z57" s="233"/>
      <c r="AA57" s="233"/>
      <c r="AB57" s="233"/>
      <c r="AC57" s="233"/>
      <c r="AD57" s="233"/>
      <c r="AE57" s="233"/>
      <c r="AF57" s="233"/>
      <c r="AG57" s="233"/>
      <c r="AH57" s="233"/>
      <c r="AI57" s="233"/>
      <c r="AJ57" s="233"/>
      <c r="AK57" s="233"/>
      <c r="AL57" s="233"/>
      <c r="AM57" s="233"/>
      <c r="AN57" s="233"/>
      <c r="AO57" s="233"/>
      <c r="AP57" s="233"/>
      <c r="AQ57" s="233"/>
      <c r="AR57" s="233"/>
      <c r="AS57" s="233"/>
      <c r="AT57" s="233"/>
      <c r="AU57" s="233"/>
      <c r="AV57" s="233"/>
      <c r="AW57" s="233"/>
      <c r="AX57" s="233"/>
      <c r="AY57" s="233"/>
      <c r="AZ57" s="233"/>
      <c r="BA57" s="233"/>
      <c r="BB57" s="233"/>
      <c r="BC57" s="233"/>
      <c r="BD57" s="233"/>
      <c r="BE57" s="233"/>
      <c r="BF57" s="233"/>
      <c r="BG57" s="233"/>
      <c r="BH57" s="233"/>
      <c r="BI57" s="233"/>
      <c r="BJ57" s="233"/>
      <c r="BK57" s="233"/>
      <c r="BL57" s="233"/>
      <c r="BM57" s="233"/>
      <c r="BN57" s="233"/>
      <c r="BO57" s="233"/>
      <c r="BP57" s="233"/>
    </row>
    <row r="58">
      <c r="A58" s="234"/>
      <c r="B58" s="234"/>
      <c r="C58" s="235"/>
      <c r="D58" s="236"/>
      <c r="F58" s="236"/>
      <c r="H58" s="236"/>
      <c r="J58" s="236"/>
      <c r="K58" s="236"/>
      <c r="L58" s="236"/>
      <c r="M58" s="237"/>
      <c r="N58" s="237"/>
      <c r="O58" s="237"/>
      <c r="P58" s="237"/>
      <c r="Q58" s="237"/>
      <c r="R58" s="239"/>
      <c r="S58" s="240"/>
      <c r="T58" s="241"/>
      <c r="U58" s="241"/>
      <c r="V58" s="242"/>
      <c r="W58" s="242"/>
      <c r="X58" s="242"/>
      <c r="Y58" s="234"/>
      <c r="Z58" s="234"/>
      <c r="AA58" s="235"/>
      <c r="AB58" s="234"/>
      <c r="AC58" s="235"/>
      <c r="AE58" s="235"/>
      <c r="AG58" s="235"/>
      <c r="AI58" s="235"/>
      <c r="AK58" s="235"/>
      <c r="AM58" s="243"/>
      <c r="AO58" s="244"/>
      <c r="AP58" s="245"/>
      <c r="AQ58" s="245"/>
      <c r="AR58" s="245"/>
      <c r="AS58" s="245"/>
      <c r="AT58" s="245"/>
      <c r="AU58" s="245"/>
      <c r="AV58" s="245"/>
      <c r="AW58" s="245"/>
      <c r="AX58" s="245"/>
      <c r="AY58" s="245"/>
      <c r="AZ58" s="245"/>
      <c r="BA58" s="245"/>
      <c r="BB58" s="245"/>
      <c r="BC58" s="245"/>
      <c r="BD58" s="245"/>
      <c r="BE58" s="245"/>
      <c r="BF58" s="245"/>
      <c r="BG58" s="245"/>
      <c r="BH58" s="245"/>
      <c r="BI58" s="245"/>
      <c r="BJ58" s="245"/>
      <c r="BK58" s="245"/>
      <c r="BL58" s="245"/>
      <c r="BM58" s="245"/>
      <c r="BN58" s="245"/>
      <c r="BO58" s="245"/>
      <c r="BP58" s="245"/>
    </row>
    <row r="59">
      <c r="A59" s="246"/>
      <c r="B59" s="246"/>
      <c r="C59" s="247"/>
      <c r="D59" s="248"/>
      <c r="F59" s="248"/>
      <c r="H59" s="248"/>
      <c r="J59" s="248"/>
      <c r="K59" s="249"/>
      <c r="L59" s="249"/>
      <c r="M59" s="249"/>
      <c r="N59" s="249"/>
      <c r="O59" s="249"/>
      <c r="P59" s="249"/>
      <c r="Q59" s="249"/>
      <c r="R59" s="250"/>
      <c r="S59" s="253"/>
      <c r="T59" s="254"/>
      <c r="U59" s="254"/>
      <c r="V59" s="255"/>
      <c r="W59" s="255"/>
      <c r="X59" s="255"/>
      <c r="Y59" s="246"/>
      <c r="Z59" s="246"/>
      <c r="AA59" s="256"/>
      <c r="AB59" s="257"/>
      <c r="AC59" s="257"/>
      <c r="AE59" s="259"/>
      <c r="AG59" s="259"/>
      <c r="AI59" s="259"/>
      <c r="AK59" s="260"/>
      <c r="AM59" s="257"/>
      <c r="AO59" s="257"/>
      <c r="AP59" s="261"/>
    </row>
    <row r="60">
      <c r="A60" s="246"/>
      <c r="B60" s="246"/>
      <c r="C60" s="247"/>
      <c r="D60" s="248"/>
      <c r="F60" s="248"/>
      <c r="H60" s="248"/>
      <c r="J60" s="248"/>
      <c r="K60" s="246"/>
      <c r="L60" s="246"/>
      <c r="M60" s="246"/>
      <c r="N60" s="246"/>
      <c r="O60" s="246"/>
      <c r="P60" s="246"/>
      <c r="T60" s="262"/>
      <c r="U60" s="262"/>
      <c r="Y60" s="246"/>
      <c r="Z60" s="246"/>
      <c r="AA60" s="256"/>
      <c r="AB60" s="257"/>
      <c r="AC60" s="257"/>
      <c r="AE60" s="259"/>
      <c r="AG60" s="259"/>
      <c r="AI60" s="259"/>
      <c r="AK60" s="260"/>
      <c r="AM60" s="257"/>
      <c r="AO60" s="257"/>
      <c r="AP60" s="261"/>
      <c r="AS60" s="264"/>
    </row>
    <row r="61">
      <c r="A61" s="246"/>
      <c r="B61" s="246"/>
      <c r="C61" s="247"/>
      <c r="D61" s="248"/>
      <c r="F61" s="248"/>
      <c r="H61" s="248"/>
      <c r="J61" s="248"/>
      <c r="K61" s="246"/>
      <c r="L61" s="246"/>
      <c r="M61" s="246"/>
      <c r="N61" s="246"/>
      <c r="O61" s="246"/>
      <c r="P61" s="246"/>
      <c r="T61" s="262"/>
      <c r="U61" s="262"/>
      <c r="X61" s="261"/>
      <c r="Y61" s="256"/>
      <c r="Z61" s="257"/>
      <c r="AA61" s="257"/>
      <c r="AB61" s="257"/>
      <c r="AC61" s="257"/>
      <c r="AE61" s="259"/>
      <c r="AG61" s="259"/>
      <c r="AI61" s="259"/>
      <c r="AK61" s="260"/>
      <c r="AM61" s="257"/>
      <c r="AO61" s="257"/>
      <c r="AP61" s="267"/>
      <c r="AQ61" s="268"/>
      <c r="AR61" s="264"/>
      <c r="AS61" s="264"/>
      <c r="AT61" s="264"/>
    </row>
    <row r="62">
      <c r="A62" s="246"/>
      <c r="B62" s="246"/>
      <c r="C62" s="247"/>
      <c r="D62" s="248"/>
      <c r="F62" s="248"/>
      <c r="H62" s="248"/>
      <c r="J62" s="248"/>
      <c r="K62" s="246"/>
      <c r="L62" s="246"/>
      <c r="M62" s="246"/>
      <c r="N62" s="246"/>
      <c r="O62" s="246"/>
      <c r="P62" s="246"/>
      <c r="T62" s="262"/>
      <c r="U62" s="262"/>
      <c r="X62" s="269"/>
      <c r="Y62" s="270"/>
      <c r="Z62" s="256"/>
      <c r="AA62" s="256"/>
      <c r="AB62" s="257"/>
      <c r="AC62" s="257"/>
      <c r="AE62" s="259"/>
      <c r="AG62" s="256"/>
      <c r="AI62" s="259"/>
      <c r="AK62" s="260"/>
      <c r="AM62" s="257"/>
      <c r="AO62" s="257"/>
      <c r="AP62" s="261"/>
      <c r="AR62" s="264"/>
    </row>
    <row r="63">
      <c r="A63" s="246"/>
      <c r="B63" s="246"/>
      <c r="C63" s="247"/>
      <c r="D63" s="248"/>
      <c r="F63" s="248"/>
      <c r="H63" s="248"/>
      <c r="J63" s="248"/>
      <c r="K63" s="246"/>
      <c r="L63" s="246"/>
      <c r="M63" s="246"/>
      <c r="N63" s="246"/>
      <c r="O63" s="246"/>
      <c r="P63" s="246"/>
      <c r="T63" s="262"/>
      <c r="U63" s="271"/>
      <c r="V63" s="272"/>
      <c r="W63" s="272"/>
      <c r="X63" s="269"/>
      <c r="Y63" s="257"/>
      <c r="AA63" s="257"/>
      <c r="AB63" s="257"/>
      <c r="AC63" s="256"/>
      <c r="AE63" s="259"/>
      <c r="AG63" s="256"/>
      <c r="AI63" s="259"/>
      <c r="AK63" s="260"/>
      <c r="AM63" s="257"/>
      <c r="AO63" s="257"/>
      <c r="AP63" s="261"/>
      <c r="AQ63" s="264"/>
      <c r="AU63" s="264"/>
    </row>
    <row r="64">
      <c r="A64" s="246"/>
      <c r="B64" s="246"/>
      <c r="C64" s="247"/>
      <c r="D64" s="248"/>
      <c r="F64" s="248"/>
      <c r="H64" s="248"/>
      <c r="J64" s="248"/>
      <c r="K64" s="246"/>
      <c r="L64" s="246"/>
      <c r="M64" s="246"/>
      <c r="N64" s="249"/>
      <c r="O64" s="249"/>
      <c r="P64" s="246"/>
      <c r="T64" s="262"/>
      <c r="U64" s="271"/>
      <c r="X64" s="273"/>
      <c r="Y64" s="256"/>
      <c r="AA64" s="256"/>
      <c r="AB64" s="257"/>
      <c r="AC64" s="256"/>
      <c r="AE64" s="259"/>
      <c r="AG64" s="256"/>
      <c r="AI64" s="259"/>
      <c r="AK64" s="260"/>
      <c r="AM64" s="257"/>
      <c r="AO64" s="257"/>
      <c r="AP64" s="261"/>
    </row>
    <row r="65">
      <c r="A65" s="246"/>
      <c r="B65" s="246"/>
      <c r="C65" s="247"/>
      <c r="D65" s="248"/>
      <c r="F65" s="248"/>
      <c r="H65" s="248"/>
      <c r="J65" s="248"/>
      <c r="K65" s="246"/>
      <c r="L65" s="246"/>
      <c r="M65" s="246"/>
      <c r="N65" s="249"/>
      <c r="O65" s="249"/>
      <c r="P65" s="246"/>
      <c r="T65" s="262"/>
      <c r="U65" s="271"/>
      <c r="V65" s="272"/>
      <c r="W65" s="272"/>
      <c r="X65" s="269"/>
      <c r="Y65" s="257"/>
      <c r="AA65" s="257"/>
      <c r="AB65" s="257"/>
      <c r="AC65" s="256"/>
      <c r="AE65" s="259"/>
      <c r="AG65" s="256"/>
      <c r="AI65" s="259"/>
      <c r="AK65" s="260"/>
      <c r="AM65" s="257"/>
      <c r="AO65" s="257"/>
      <c r="AP65" s="261"/>
    </row>
    <row r="66">
      <c r="A66" s="246"/>
      <c r="B66" s="246"/>
      <c r="C66" s="247"/>
      <c r="D66" s="248"/>
      <c r="F66" s="248"/>
      <c r="H66" s="248"/>
      <c r="J66" s="248"/>
      <c r="K66" s="246"/>
      <c r="L66" s="246"/>
      <c r="M66" s="246"/>
      <c r="N66" s="249"/>
      <c r="O66" s="248"/>
      <c r="P66" s="246"/>
      <c r="T66" s="262"/>
      <c r="U66" s="271"/>
      <c r="V66" s="272"/>
      <c r="W66" s="272"/>
      <c r="X66" s="269"/>
      <c r="Y66" s="259"/>
      <c r="AA66" s="259"/>
      <c r="AB66" s="257"/>
      <c r="AC66" s="256"/>
      <c r="AE66" s="259"/>
      <c r="AG66" s="256"/>
      <c r="AI66" s="259"/>
      <c r="AK66" s="260"/>
      <c r="AM66" s="257"/>
      <c r="AO66" s="257"/>
      <c r="AP66" s="261"/>
    </row>
    <row r="67">
      <c r="A67" s="246"/>
      <c r="B67" s="246"/>
      <c r="C67" s="247"/>
      <c r="D67" s="248"/>
      <c r="F67" s="248"/>
      <c r="H67" s="248"/>
      <c r="J67" s="248"/>
      <c r="K67" s="246"/>
      <c r="L67" s="246"/>
      <c r="M67" s="246"/>
      <c r="N67" s="249"/>
      <c r="O67" s="249"/>
      <c r="P67" s="246"/>
      <c r="T67" s="262"/>
      <c r="U67" s="271"/>
      <c r="V67" s="272"/>
      <c r="W67" s="272"/>
      <c r="X67" s="269"/>
      <c r="Y67" s="259"/>
      <c r="AA67" s="259"/>
      <c r="AB67" s="257"/>
      <c r="AC67" s="256"/>
      <c r="AE67" s="259"/>
      <c r="AG67" s="256"/>
      <c r="AI67" s="259"/>
      <c r="AK67" s="260"/>
      <c r="AM67" s="260"/>
      <c r="AO67" s="260"/>
      <c r="AP67" s="261"/>
    </row>
    <row r="68">
      <c r="A68" s="246"/>
      <c r="B68" s="246"/>
      <c r="C68" s="247"/>
      <c r="D68" s="248"/>
      <c r="F68" s="248"/>
      <c r="H68" s="248"/>
      <c r="J68" s="248"/>
      <c r="K68" s="246"/>
      <c r="L68" s="246"/>
      <c r="M68" s="246"/>
      <c r="N68" s="249"/>
      <c r="O68" s="248"/>
      <c r="P68" s="246"/>
      <c r="T68" s="262"/>
      <c r="U68" s="271"/>
      <c r="V68" s="272"/>
      <c r="W68" s="272"/>
      <c r="X68" s="269"/>
      <c r="Y68" s="257"/>
      <c r="AA68" s="257"/>
      <c r="AB68" s="257"/>
      <c r="AC68" s="256"/>
      <c r="AE68" s="256"/>
      <c r="AG68" s="256"/>
      <c r="AI68" s="259"/>
      <c r="AK68" s="256"/>
      <c r="AM68" s="260"/>
      <c r="AO68" s="260"/>
      <c r="AP68" s="261"/>
    </row>
    <row r="69">
      <c r="A69" s="246"/>
      <c r="B69" s="246"/>
      <c r="C69" s="247"/>
      <c r="D69" s="248"/>
      <c r="F69" s="248"/>
      <c r="H69" s="248"/>
      <c r="J69" s="248"/>
      <c r="K69" s="246"/>
      <c r="L69" s="246"/>
      <c r="M69" s="246"/>
      <c r="N69" s="249"/>
      <c r="O69" s="249"/>
      <c r="P69" s="246"/>
      <c r="T69" s="262"/>
      <c r="U69" s="271"/>
      <c r="V69" s="272"/>
      <c r="W69" s="272"/>
      <c r="X69" s="269"/>
      <c r="Y69" s="259"/>
      <c r="AA69" s="259"/>
      <c r="AB69" s="257"/>
      <c r="AC69" s="256"/>
      <c r="AE69" s="256"/>
      <c r="AG69" s="256"/>
      <c r="AI69" s="259"/>
      <c r="AK69" s="256"/>
      <c r="AM69" s="260"/>
      <c r="AO69" s="260"/>
      <c r="AP69" s="261"/>
    </row>
    <row r="70">
      <c r="A70" s="246"/>
      <c r="B70" s="246"/>
      <c r="C70" s="247"/>
      <c r="D70" s="248"/>
      <c r="F70" s="248"/>
      <c r="H70" s="248"/>
      <c r="J70" s="248"/>
      <c r="K70" s="246"/>
      <c r="L70" s="246"/>
      <c r="M70" s="246"/>
      <c r="N70" s="249"/>
      <c r="O70" s="249"/>
      <c r="P70" s="246"/>
      <c r="T70" s="262"/>
      <c r="U70" s="271"/>
      <c r="V70" s="272"/>
      <c r="W70" s="272"/>
      <c r="X70" s="269"/>
      <c r="Y70" s="257"/>
      <c r="AA70" s="257"/>
      <c r="AB70" s="257"/>
      <c r="AC70" s="256"/>
      <c r="AE70" s="256"/>
      <c r="AG70" s="256"/>
      <c r="AI70" s="259"/>
      <c r="AK70" s="256"/>
      <c r="AM70" s="260"/>
      <c r="AO70" s="260"/>
      <c r="AP70" s="261"/>
    </row>
    <row r="71">
      <c r="A71" s="246"/>
      <c r="B71" s="246"/>
      <c r="C71" s="247"/>
      <c r="D71" s="248"/>
      <c r="F71" s="248"/>
      <c r="H71" s="248"/>
      <c r="J71" s="246"/>
      <c r="K71" s="246"/>
      <c r="L71" s="246"/>
      <c r="M71" s="246"/>
      <c r="N71" s="249"/>
      <c r="O71" s="249"/>
      <c r="P71" s="246"/>
      <c r="T71" s="262"/>
      <c r="U71" s="271"/>
      <c r="V71" s="272"/>
      <c r="W71" s="272"/>
      <c r="X71" s="269"/>
      <c r="Y71" s="257"/>
      <c r="AA71" s="257"/>
      <c r="AB71" s="257"/>
      <c r="AC71" s="256"/>
      <c r="AE71" s="256"/>
      <c r="AG71" s="256"/>
      <c r="AI71" s="259"/>
      <c r="AK71" s="256"/>
      <c r="AM71" s="260"/>
      <c r="AO71" s="260"/>
      <c r="AP71" s="261"/>
    </row>
    <row r="72">
      <c r="A72" s="246"/>
      <c r="B72" s="246"/>
      <c r="C72" s="247"/>
      <c r="D72" s="248"/>
      <c r="F72" s="248"/>
      <c r="H72" s="248"/>
      <c r="J72" s="246"/>
      <c r="K72" s="246"/>
      <c r="L72" s="246"/>
      <c r="M72" s="246"/>
      <c r="N72" s="248"/>
      <c r="O72" s="248"/>
      <c r="P72" s="246"/>
      <c r="T72" s="262"/>
      <c r="U72" s="271"/>
      <c r="V72" s="272"/>
      <c r="W72" s="272"/>
      <c r="X72" s="269"/>
      <c r="Y72" s="259"/>
      <c r="AA72" s="259"/>
      <c r="AB72" s="257"/>
      <c r="AC72" s="256"/>
      <c r="AE72" s="256"/>
      <c r="AG72" s="256"/>
      <c r="AI72" s="259"/>
      <c r="AK72" s="256"/>
      <c r="AM72" s="260"/>
      <c r="AO72" s="260"/>
      <c r="AP72" s="261"/>
    </row>
    <row r="73">
      <c r="A73" s="246"/>
      <c r="B73" s="246"/>
      <c r="C73" s="276"/>
      <c r="D73" s="246"/>
      <c r="E73" s="246"/>
      <c r="F73" s="246"/>
      <c r="G73" s="246"/>
      <c r="H73" s="246"/>
      <c r="I73" s="246"/>
      <c r="J73" s="246"/>
      <c r="K73" s="246"/>
      <c r="L73" s="246"/>
      <c r="M73" s="246"/>
      <c r="N73" s="249"/>
      <c r="O73" s="248"/>
      <c r="P73" s="246"/>
      <c r="T73" s="262"/>
      <c r="U73" s="271"/>
      <c r="V73" s="272"/>
      <c r="W73" s="272"/>
      <c r="X73" s="269"/>
      <c r="Y73" s="259"/>
      <c r="AA73" s="259"/>
      <c r="AB73" s="257"/>
      <c r="AC73" s="256"/>
      <c r="AE73" s="256"/>
      <c r="AG73" s="256"/>
      <c r="AI73" s="259"/>
      <c r="AK73" s="256"/>
      <c r="AM73" s="260"/>
      <c r="AO73" s="260"/>
      <c r="AP73" s="261"/>
    </row>
    <row r="74">
      <c r="A74" s="246"/>
      <c r="B74" s="246"/>
      <c r="C74" s="276"/>
      <c r="D74" s="246"/>
      <c r="E74" s="246"/>
      <c r="F74" s="246"/>
      <c r="G74" s="246"/>
      <c r="H74" s="246"/>
      <c r="I74" s="246"/>
      <c r="J74" s="246"/>
      <c r="K74" s="246"/>
      <c r="L74" s="246"/>
      <c r="M74" s="246"/>
      <c r="N74" s="249"/>
      <c r="O74" s="248"/>
      <c r="P74" s="246"/>
      <c r="T74" s="262"/>
      <c r="U74" s="262"/>
      <c r="X74" s="269"/>
      <c r="Y74" s="270"/>
      <c r="Z74" s="256"/>
      <c r="AA74" s="256"/>
      <c r="AB74" s="256"/>
      <c r="AC74" s="257"/>
      <c r="AD74" s="257"/>
      <c r="AE74" s="257"/>
      <c r="AF74" s="257"/>
      <c r="AG74" s="257"/>
      <c r="AH74" s="257"/>
      <c r="AI74" s="257"/>
      <c r="AJ74" s="257"/>
      <c r="AK74" s="257"/>
      <c r="AL74" s="257"/>
      <c r="AM74" s="257"/>
      <c r="AN74" s="257"/>
      <c r="AO74" s="257"/>
      <c r="AP74" s="257"/>
      <c r="AQ74" s="257"/>
    </row>
    <row r="75">
      <c r="A75" s="246"/>
      <c r="B75" s="246"/>
      <c r="C75" s="276"/>
      <c r="D75" s="246"/>
      <c r="E75" s="246"/>
      <c r="F75" s="246"/>
      <c r="G75" s="246"/>
      <c r="H75" s="246"/>
      <c r="I75" s="246"/>
      <c r="J75" s="246"/>
      <c r="K75" s="246"/>
      <c r="L75" s="246"/>
      <c r="M75" s="246"/>
      <c r="N75" s="249"/>
      <c r="O75" s="248"/>
      <c r="P75" s="246"/>
      <c r="T75" s="262"/>
      <c r="U75" s="262"/>
      <c r="X75" s="269"/>
      <c r="Y75" s="270"/>
      <c r="Z75" s="256"/>
      <c r="AA75" s="256"/>
      <c r="AB75" s="256"/>
      <c r="AC75" s="256"/>
      <c r="AD75" s="256"/>
      <c r="AE75" s="261"/>
    </row>
    <row r="76">
      <c r="C76" s="276"/>
      <c r="N76" s="249"/>
      <c r="O76" s="248"/>
      <c r="T76" s="262"/>
      <c r="U76" s="262"/>
      <c r="X76" s="269"/>
      <c r="Y76" s="270"/>
      <c r="Z76" s="256"/>
      <c r="AA76" s="256"/>
      <c r="AB76" s="256"/>
      <c r="AC76" s="256"/>
      <c r="AD76" s="256"/>
      <c r="AE76" s="261"/>
    </row>
    <row r="77">
      <c r="C77" s="276"/>
      <c r="N77" s="248"/>
      <c r="O77" s="248"/>
      <c r="T77" s="262"/>
      <c r="U77" s="262"/>
      <c r="X77" s="269"/>
      <c r="Y77" s="270"/>
      <c r="Z77" s="256"/>
      <c r="AA77" s="256"/>
      <c r="AB77" s="256"/>
      <c r="AC77" s="256"/>
      <c r="AD77" s="256"/>
      <c r="AE77" s="261"/>
    </row>
    <row r="78">
      <c r="C78" s="276"/>
      <c r="N78" s="248"/>
      <c r="O78" s="248"/>
      <c r="T78" s="262"/>
      <c r="U78" s="262"/>
      <c r="V78" s="272"/>
      <c r="X78" s="269"/>
      <c r="Y78" s="270"/>
      <c r="Z78" s="259"/>
      <c r="AA78" s="259"/>
      <c r="AB78" s="256"/>
      <c r="AC78" s="256"/>
      <c r="AD78" s="256"/>
      <c r="AE78" s="261"/>
    </row>
    <row r="79">
      <c r="C79" s="276"/>
      <c r="N79" s="249"/>
      <c r="O79" s="248"/>
      <c r="T79" s="262"/>
      <c r="U79" s="262"/>
      <c r="V79" s="272"/>
      <c r="X79" s="269"/>
      <c r="Y79" s="270"/>
      <c r="Z79" s="259"/>
      <c r="AA79" s="259"/>
      <c r="AB79" s="256"/>
      <c r="AC79" s="256"/>
      <c r="AD79" s="256"/>
      <c r="AE79" s="261"/>
    </row>
    <row r="80">
      <c r="C80" s="264"/>
      <c r="N80" s="248"/>
      <c r="O80" s="248"/>
      <c r="T80" s="262"/>
      <c r="U80" s="262"/>
      <c r="V80" s="272"/>
      <c r="X80" s="269"/>
      <c r="Y80" s="270"/>
      <c r="Z80" s="259"/>
      <c r="AA80" s="259"/>
      <c r="AB80" s="256"/>
      <c r="AC80" s="256"/>
      <c r="AD80" s="256"/>
      <c r="AE80" s="261"/>
    </row>
    <row r="81">
      <c r="N81" s="249"/>
      <c r="O81" s="248"/>
      <c r="T81" s="262"/>
      <c r="U81" s="262"/>
      <c r="V81" s="272"/>
      <c r="X81" s="269"/>
      <c r="Y81" s="270"/>
      <c r="Z81" s="259"/>
      <c r="AA81" s="259"/>
      <c r="AB81" s="256"/>
      <c r="AC81" s="256"/>
      <c r="AD81" s="256"/>
      <c r="AE81" s="261"/>
    </row>
    <row r="82">
      <c r="N82" s="248"/>
      <c r="O82" s="248"/>
      <c r="T82" s="262"/>
      <c r="U82" s="262"/>
      <c r="V82" s="272"/>
      <c r="X82" s="269"/>
      <c r="Y82" s="270"/>
      <c r="Z82" s="259"/>
      <c r="AA82" s="259"/>
      <c r="AB82" s="256"/>
      <c r="AC82" s="256"/>
      <c r="AD82" s="256"/>
      <c r="AE82" s="261"/>
    </row>
    <row r="83">
      <c r="N83" s="248"/>
      <c r="O83" s="248"/>
      <c r="T83" s="262"/>
      <c r="U83" s="262"/>
      <c r="V83" s="272"/>
      <c r="X83" s="269"/>
      <c r="Y83" s="270"/>
      <c r="Z83" s="259"/>
      <c r="AA83" s="259"/>
      <c r="AB83" s="256"/>
      <c r="AC83" s="256"/>
      <c r="AD83" s="256"/>
      <c r="AE83" s="261"/>
    </row>
    <row r="84">
      <c r="N84" s="248"/>
      <c r="O84" s="248"/>
      <c r="T84" s="262"/>
      <c r="U84" s="262"/>
      <c r="V84" s="272"/>
      <c r="X84" s="269"/>
      <c r="Y84" s="270"/>
      <c r="Z84" s="259"/>
      <c r="AA84" s="259"/>
      <c r="AB84" s="256"/>
      <c r="AC84" s="256"/>
      <c r="AD84" s="256"/>
      <c r="AE84" s="261"/>
    </row>
    <row r="85">
      <c r="N85" s="248"/>
      <c r="O85" s="248"/>
      <c r="T85" s="262"/>
      <c r="U85" s="262"/>
      <c r="V85" s="272"/>
      <c r="X85" s="269"/>
      <c r="Y85" s="270"/>
      <c r="Z85" s="259"/>
      <c r="AA85" s="259"/>
      <c r="AB85" s="256"/>
      <c r="AC85" s="256"/>
      <c r="AD85" s="256"/>
      <c r="AE85" s="261"/>
    </row>
    <row r="86">
      <c r="N86" s="248"/>
      <c r="O86" s="248"/>
      <c r="T86" s="262"/>
      <c r="U86" s="262"/>
      <c r="V86" s="272"/>
      <c r="X86" s="269"/>
      <c r="Y86" s="270"/>
      <c r="Z86" s="259"/>
      <c r="AA86" s="259"/>
      <c r="AB86" s="256"/>
      <c r="AC86" s="256"/>
      <c r="AD86" s="256"/>
      <c r="AE86" s="261"/>
    </row>
    <row r="87">
      <c r="N87" s="248"/>
      <c r="O87" s="248"/>
      <c r="T87" s="262"/>
      <c r="U87" s="262"/>
      <c r="V87" s="272"/>
      <c r="X87" s="269"/>
      <c r="Y87" s="270"/>
      <c r="Z87" s="259"/>
      <c r="AA87" s="259"/>
      <c r="AB87" s="256"/>
      <c r="AC87" s="256"/>
      <c r="AD87" s="256"/>
      <c r="AE87" s="261"/>
    </row>
    <row r="88">
      <c r="N88" s="249"/>
      <c r="O88" s="248"/>
      <c r="T88" s="262"/>
      <c r="U88" s="262"/>
      <c r="V88" s="272"/>
      <c r="X88" s="269"/>
      <c r="Y88" s="270"/>
      <c r="Z88" s="259"/>
      <c r="AA88" s="259"/>
      <c r="AB88" s="256"/>
      <c r="AC88" s="256"/>
      <c r="AD88" s="256"/>
      <c r="AE88" s="261"/>
    </row>
    <row r="89">
      <c r="N89" s="248"/>
      <c r="O89" s="249"/>
      <c r="T89" s="262"/>
      <c r="U89" s="262"/>
      <c r="V89" s="272"/>
      <c r="X89" s="269"/>
      <c r="Y89" s="270"/>
      <c r="Z89" s="259"/>
      <c r="AA89" s="259"/>
      <c r="AB89" s="256"/>
      <c r="AC89" s="256"/>
      <c r="AD89" s="256"/>
      <c r="AE89" s="261"/>
    </row>
    <row r="90">
      <c r="N90" s="248"/>
      <c r="O90" s="248"/>
      <c r="T90" s="262"/>
      <c r="U90" s="262"/>
      <c r="V90" s="272"/>
      <c r="X90" s="269"/>
      <c r="Y90" s="270"/>
      <c r="Z90" s="259"/>
      <c r="AA90" s="259"/>
      <c r="AB90" s="256"/>
      <c r="AC90" s="256"/>
      <c r="AD90" s="256"/>
      <c r="AE90" s="261"/>
    </row>
    <row r="91">
      <c r="N91" s="248"/>
      <c r="O91" s="249"/>
      <c r="T91" s="262"/>
      <c r="U91" s="262"/>
      <c r="V91" s="272"/>
      <c r="X91" s="269"/>
      <c r="Y91" s="270"/>
      <c r="Z91" s="259"/>
      <c r="AA91" s="259"/>
      <c r="AB91" s="256"/>
      <c r="AC91" s="256"/>
      <c r="AD91" s="256"/>
      <c r="AE91" s="261"/>
    </row>
    <row r="92">
      <c r="N92" s="248"/>
      <c r="O92" s="249"/>
      <c r="T92" s="262"/>
      <c r="U92" s="262"/>
      <c r="V92" s="272"/>
      <c r="X92" s="269"/>
      <c r="Y92" s="270"/>
      <c r="Z92" s="259"/>
      <c r="AA92" s="259"/>
      <c r="AB92" s="256"/>
      <c r="AC92" s="256"/>
      <c r="AD92" s="256"/>
      <c r="AE92" s="261"/>
    </row>
    <row r="93">
      <c r="N93" s="249"/>
      <c r="O93" s="248"/>
      <c r="T93" s="262"/>
      <c r="U93" s="262"/>
      <c r="V93" s="272"/>
      <c r="X93" s="269"/>
      <c r="Y93" s="270"/>
      <c r="Z93" s="259"/>
      <c r="AA93" s="259"/>
      <c r="AB93" s="256"/>
      <c r="AC93" s="256"/>
      <c r="AD93" s="256"/>
      <c r="AE93" s="261"/>
    </row>
    <row r="94">
      <c r="N94" s="249"/>
      <c r="O94" s="248"/>
      <c r="T94" s="262"/>
      <c r="U94" s="262"/>
      <c r="X94" s="269"/>
      <c r="Y94" s="270"/>
      <c r="Z94" s="256"/>
      <c r="AA94" s="256"/>
      <c r="AB94" s="256"/>
      <c r="AC94" s="256"/>
      <c r="AD94" s="256"/>
      <c r="AE94" s="261"/>
    </row>
    <row r="95">
      <c r="N95" s="249"/>
      <c r="O95" s="249"/>
      <c r="T95" s="262"/>
      <c r="U95" s="262"/>
      <c r="X95" s="269"/>
      <c r="Y95" s="270"/>
      <c r="Z95" s="256"/>
      <c r="AA95" s="256"/>
      <c r="AB95" s="256"/>
      <c r="AC95" s="256"/>
      <c r="AD95" s="256"/>
      <c r="AE95" s="261"/>
    </row>
    <row r="96">
      <c r="N96" s="249"/>
      <c r="O96" s="249"/>
      <c r="T96" s="262"/>
      <c r="U96" s="262"/>
      <c r="X96" s="269"/>
      <c r="Y96" s="270"/>
      <c r="Z96" s="256"/>
      <c r="AA96" s="256"/>
      <c r="AB96" s="256"/>
      <c r="AC96" s="256"/>
      <c r="AD96" s="256"/>
      <c r="AE96" s="261"/>
    </row>
    <row r="97">
      <c r="N97" s="248"/>
      <c r="O97" s="248"/>
      <c r="T97" s="262"/>
      <c r="U97" s="262"/>
      <c r="X97" s="269"/>
      <c r="Y97" s="270"/>
      <c r="Z97" s="256"/>
      <c r="AA97" s="256"/>
      <c r="AB97" s="256"/>
      <c r="AC97" s="256"/>
      <c r="AD97" s="256"/>
      <c r="AE97" s="261"/>
    </row>
    <row r="98">
      <c r="N98" s="249"/>
      <c r="O98" s="248"/>
      <c r="T98" s="262"/>
      <c r="U98" s="262"/>
      <c r="X98" s="269"/>
      <c r="Y98" s="270"/>
      <c r="Z98" s="256"/>
      <c r="AA98" s="256"/>
      <c r="AB98" s="256"/>
      <c r="AC98" s="256"/>
      <c r="AD98" s="256"/>
      <c r="AE98" s="261"/>
    </row>
    <row r="99">
      <c r="N99" s="249"/>
      <c r="O99" s="248"/>
      <c r="T99" s="262"/>
      <c r="U99" s="262"/>
      <c r="X99" s="269"/>
      <c r="Y99" s="270"/>
      <c r="Z99" s="256"/>
      <c r="AA99" s="256"/>
      <c r="AB99" s="256"/>
      <c r="AC99" s="256"/>
      <c r="AD99" s="256"/>
      <c r="AE99" s="261"/>
    </row>
    <row r="100">
      <c r="N100" s="249"/>
      <c r="O100" s="249"/>
      <c r="T100" s="262"/>
      <c r="U100" s="262"/>
      <c r="X100" s="269"/>
      <c r="Y100" s="270"/>
      <c r="Z100" s="256"/>
      <c r="AA100" s="256"/>
      <c r="AB100" s="256"/>
      <c r="AC100" s="256"/>
      <c r="AD100" s="256"/>
      <c r="AE100" s="261"/>
    </row>
    <row r="101">
      <c r="N101" s="248"/>
      <c r="O101" s="248"/>
      <c r="T101" s="262"/>
      <c r="U101" s="262"/>
      <c r="X101" s="269"/>
      <c r="Y101" s="270"/>
      <c r="Z101" s="256"/>
      <c r="AA101" s="256"/>
      <c r="AB101" s="256"/>
      <c r="AC101" s="256"/>
      <c r="AD101" s="256"/>
      <c r="AE101" s="261"/>
    </row>
    <row r="102">
      <c r="N102" s="249"/>
      <c r="O102" s="248"/>
      <c r="T102" s="262"/>
      <c r="U102" s="262"/>
      <c r="X102" s="269"/>
      <c r="Y102" s="270"/>
      <c r="Z102" s="256"/>
      <c r="AA102" s="256"/>
      <c r="AB102" s="256"/>
      <c r="AC102" s="256"/>
      <c r="AD102" s="256"/>
      <c r="AE102" s="261"/>
    </row>
    <row r="103">
      <c r="N103" s="248"/>
      <c r="O103" s="249"/>
      <c r="T103" s="262"/>
      <c r="U103" s="262"/>
      <c r="X103" s="269"/>
      <c r="Y103" s="270"/>
      <c r="Z103" s="256"/>
      <c r="AA103" s="256"/>
      <c r="AB103" s="256"/>
      <c r="AC103" s="256"/>
      <c r="AD103" s="256"/>
      <c r="AE103" s="261"/>
    </row>
    <row r="104">
      <c r="N104" s="249"/>
      <c r="O104" s="249"/>
      <c r="T104" s="262"/>
      <c r="U104" s="262"/>
      <c r="X104" s="269"/>
      <c r="Y104" s="270"/>
      <c r="Z104" s="256"/>
      <c r="AA104" s="256"/>
      <c r="AB104" s="256"/>
      <c r="AC104" s="256"/>
      <c r="AD104" s="256"/>
      <c r="AE104" s="261"/>
    </row>
    <row r="105">
      <c r="N105" s="249"/>
      <c r="O105" s="249"/>
      <c r="T105" s="262"/>
      <c r="U105" s="262"/>
      <c r="X105" s="269"/>
      <c r="Y105" s="270"/>
      <c r="Z105" s="256"/>
      <c r="AA105" s="256"/>
      <c r="AB105" s="256"/>
      <c r="AC105" s="256"/>
      <c r="AD105" s="256"/>
      <c r="AE105" s="261"/>
    </row>
    <row r="106">
      <c r="N106" s="249"/>
      <c r="O106" s="249"/>
      <c r="T106" s="262"/>
      <c r="U106" s="262"/>
      <c r="X106" s="261"/>
      <c r="Y106" s="261"/>
      <c r="Z106" s="261"/>
      <c r="AA106" s="261"/>
      <c r="AB106" s="261"/>
      <c r="AC106" s="261"/>
      <c r="AD106" s="261"/>
      <c r="AE106" s="261"/>
    </row>
    <row r="107">
      <c r="N107" s="249"/>
      <c r="O107" s="249"/>
      <c r="T107" s="262"/>
      <c r="U107" s="262"/>
      <c r="X107" s="261"/>
      <c r="Y107" s="261"/>
      <c r="Z107" s="261"/>
      <c r="AA107" s="261"/>
      <c r="AB107" s="261"/>
      <c r="AC107" s="261"/>
      <c r="AD107" s="261"/>
      <c r="AE107" s="261"/>
    </row>
    <row r="108">
      <c r="N108" s="249"/>
      <c r="O108" s="249"/>
      <c r="T108" s="262"/>
      <c r="U108" s="262"/>
      <c r="X108" s="261"/>
      <c r="Y108" s="261"/>
      <c r="Z108" s="261"/>
      <c r="AA108" s="261"/>
      <c r="AB108" s="261"/>
      <c r="AC108" s="261"/>
      <c r="AD108" s="261"/>
      <c r="AE108" s="261"/>
    </row>
    <row r="109">
      <c r="N109" s="249"/>
      <c r="O109" s="249"/>
      <c r="T109" s="262"/>
      <c r="U109" s="262"/>
    </row>
    <row r="110">
      <c r="N110" s="249"/>
      <c r="O110" s="249"/>
      <c r="T110" s="262"/>
      <c r="U110" s="262"/>
    </row>
    <row r="111">
      <c r="N111" s="249"/>
      <c r="O111" s="249"/>
      <c r="T111" s="262"/>
      <c r="U111" s="262"/>
    </row>
    <row r="112">
      <c r="N112" s="249"/>
      <c r="O112" s="249"/>
      <c r="T112" s="262"/>
      <c r="U112" s="262"/>
    </row>
    <row r="113">
      <c r="N113" s="249"/>
      <c r="O113" s="249"/>
      <c r="T113" s="262"/>
      <c r="U113" s="262"/>
    </row>
    <row r="114">
      <c r="N114" s="249"/>
      <c r="O114" s="249"/>
      <c r="T114" s="262"/>
      <c r="U114" s="262"/>
    </row>
    <row r="115">
      <c r="N115" s="249"/>
      <c r="O115" s="249"/>
      <c r="T115" s="262"/>
      <c r="U115" s="262"/>
    </row>
    <row r="116">
      <c r="N116" s="249"/>
      <c r="O116" s="249"/>
      <c r="T116" s="262"/>
      <c r="U116" s="262"/>
    </row>
    <row r="117">
      <c r="N117" s="249"/>
      <c r="O117" s="249"/>
      <c r="T117" s="262"/>
      <c r="U117" s="262"/>
    </row>
    <row r="118">
      <c r="N118" s="261"/>
      <c r="O118" s="261"/>
      <c r="T118" s="262"/>
      <c r="U118" s="262"/>
    </row>
    <row r="119">
      <c r="T119" s="262"/>
      <c r="U119" s="262"/>
    </row>
    <row r="120">
      <c r="T120" s="262"/>
      <c r="U120" s="262"/>
    </row>
    <row r="121">
      <c r="T121" s="262"/>
      <c r="U121" s="262"/>
    </row>
    <row r="122">
      <c r="T122" s="262"/>
      <c r="U122" s="262"/>
    </row>
    <row r="123">
      <c r="T123" s="262"/>
      <c r="U123" s="262"/>
    </row>
    <row r="124">
      <c r="T124" s="262"/>
      <c r="U124" s="262"/>
    </row>
    <row r="125">
      <c r="T125" s="262"/>
      <c r="U125" s="262"/>
    </row>
    <row r="126">
      <c r="T126" s="262"/>
      <c r="U126" s="262"/>
    </row>
    <row r="127">
      <c r="T127" s="262"/>
      <c r="U127" s="262"/>
    </row>
    <row r="128">
      <c r="T128" s="262"/>
      <c r="U128" s="262"/>
    </row>
    <row r="129">
      <c r="T129" s="262"/>
      <c r="U129" s="262"/>
    </row>
    <row r="130">
      <c r="T130" s="262"/>
      <c r="U130" s="262"/>
    </row>
    <row r="131">
      <c r="T131" s="262"/>
      <c r="U131" s="262"/>
    </row>
    <row r="132">
      <c r="T132" s="262"/>
      <c r="U132" s="262"/>
    </row>
    <row r="133">
      <c r="T133" s="262"/>
      <c r="U133" s="262"/>
    </row>
    <row r="134">
      <c r="T134" s="262"/>
      <c r="U134" s="262"/>
    </row>
    <row r="135">
      <c r="T135" s="262"/>
      <c r="U135" s="262"/>
    </row>
    <row r="136">
      <c r="T136" s="262"/>
      <c r="U136" s="262"/>
    </row>
    <row r="137">
      <c r="T137" s="262"/>
      <c r="U137" s="262"/>
    </row>
    <row r="138">
      <c r="T138" s="262"/>
      <c r="U138" s="262"/>
    </row>
    <row r="139">
      <c r="T139" s="262"/>
      <c r="U139" s="262"/>
    </row>
    <row r="140">
      <c r="T140" s="262"/>
      <c r="U140" s="262"/>
    </row>
    <row r="141">
      <c r="T141" s="262"/>
      <c r="U141" s="262"/>
    </row>
    <row r="142">
      <c r="T142" s="262"/>
      <c r="U142" s="262"/>
    </row>
    <row r="143">
      <c r="T143" s="262"/>
      <c r="U143" s="262"/>
    </row>
    <row r="144">
      <c r="T144" s="262"/>
      <c r="U144" s="262"/>
    </row>
    <row r="145">
      <c r="T145" s="262"/>
      <c r="U145" s="262"/>
    </row>
    <row r="146">
      <c r="T146" s="262"/>
      <c r="U146" s="262"/>
    </row>
    <row r="147">
      <c r="T147" s="262"/>
      <c r="U147" s="262"/>
    </row>
    <row r="148">
      <c r="T148" s="262"/>
      <c r="U148" s="262"/>
    </row>
    <row r="149">
      <c r="T149" s="262"/>
      <c r="U149" s="262"/>
    </row>
    <row r="150">
      <c r="T150" s="262"/>
      <c r="U150" s="262"/>
    </row>
    <row r="151">
      <c r="T151" s="262"/>
      <c r="U151" s="262"/>
    </row>
    <row r="152">
      <c r="T152" s="262"/>
      <c r="U152" s="262"/>
    </row>
    <row r="153">
      <c r="T153" s="262"/>
      <c r="U153" s="262"/>
    </row>
    <row r="154">
      <c r="T154" s="262"/>
      <c r="U154" s="262"/>
    </row>
    <row r="155">
      <c r="T155" s="262"/>
      <c r="U155" s="262"/>
    </row>
    <row r="156">
      <c r="T156" s="262"/>
      <c r="U156" s="262"/>
    </row>
    <row r="157">
      <c r="T157" s="262"/>
      <c r="U157" s="262"/>
    </row>
    <row r="158">
      <c r="T158" s="262"/>
      <c r="U158" s="262"/>
    </row>
    <row r="159">
      <c r="T159" s="262"/>
      <c r="U159" s="262"/>
    </row>
    <row r="160">
      <c r="T160" s="262"/>
      <c r="U160" s="262"/>
    </row>
    <row r="161">
      <c r="T161" s="262"/>
      <c r="U161" s="262"/>
    </row>
    <row r="162">
      <c r="T162" s="262"/>
      <c r="U162" s="262"/>
    </row>
    <row r="163">
      <c r="T163" s="262"/>
      <c r="U163" s="262"/>
    </row>
    <row r="164">
      <c r="T164" s="262"/>
      <c r="U164" s="262"/>
    </row>
    <row r="165">
      <c r="T165" s="262"/>
      <c r="U165" s="262"/>
    </row>
    <row r="166">
      <c r="T166" s="262"/>
      <c r="U166" s="262"/>
    </row>
    <row r="167">
      <c r="T167" s="262"/>
      <c r="U167" s="262"/>
    </row>
    <row r="168">
      <c r="T168" s="262"/>
      <c r="U168" s="262"/>
    </row>
    <row r="169">
      <c r="T169" s="262"/>
      <c r="U169" s="262"/>
    </row>
    <row r="170">
      <c r="T170" s="262"/>
      <c r="U170" s="262"/>
    </row>
    <row r="171">
      <c r="T171" s="262"/>
      <c r="U171" s="262"/>
    </row>
    <row r="172">
      <c r="T172" s="262"/>
      <c r="U172" s="262"/>
    </row>
    <row r="173">
      <c r="T173" s="262"/>
      <c r="U173" s="262"/>
    </row>
    <row r="174">
      <c r="T174" s="262"/>
      <c r="U174" s="262"/>
    </row>
    <row r="175">
      <c r="H175" s="272" t="s">
        <v>169</v>
      </c>
      <c r="I175" s="272" t="s">
        <v>286</v>
      </c>
      <c r="J175" s="272">
        <v>1.0</v>
      </c>
      <c r="L175" s="272">
        <v>1.0</v>
      </c>
      <c r="M175" s="272"/>
      <c r="N175" s="272"/>
      <c r="O175" s="272"/>
      <c r="P175" s="272"/>
      <c r="Q175" s="272"/>
      <c r="T175" s="262"/>
      <c r="U175" s="262"/>
      <c r="Y175" s="272" t="s">
        <v>171</v>
      </c>
      <c r="AB175" t="s">
        <v>169</v>
      </c>
    </row>
    <row r="176">
      <c r="H176" s="272" t="s">
        <v>169</v>
      </c>
      <c r="I176" s="272" t="s">
        <v>287</v>
      </c>
      <c r="L176" s="272">
        <v>1.0</v>
      </c>
      <c r="P176" s="272">
        <v>1.0</v>
      </c>
      <c r="R176" s="272">
        <v>1.0</v>
      </c>
      <c r="T176" s="271"/>
      <c r="U176" s="271"/>
      <c r="V176" s="272"/>
      <c r="W176" s="272">
        <v>1.0</v>
      </c>
      <c r="Y176" s="272" t="s">
        <v>173</v>
      </c>
      <c r="Z176" s="272" t="s">
        <v>171</v>
      </c>
      <c r="AB176" t="s">
        <v>169</v>
      </c>
    </row>
    <row r="177">
      <c r="H177" s="272" t="s">
        <v>288</v>
      </c>
      <c r="I177" s="272" t="s">
        <v>289</v>
      </c>
      <c r="P177" s="272">
        <v>1.0</v>
      </c>
      <c r="Q177" s="272">
        <v>2.0</v>
      </c>
      <c r="T177" s="262"/>
      <c r="U177" s="262"/>
      <c r="X177" s="272">
        <v>2.0</v>
      </c>
      <c r="Y177" s="272" t="s">
        <v>171</v>
      </c>
      <c r="AB177" t="s">
        <v>288</v>
      </c>
    </row>
    <row r="178">
      <c r="H178" s="272" t="s">
        <v>290</v>
      </c>
      <c r="I178" s="272" t="s">
        <v>291</v>
      </c>
      <c r="J178" s="272">
        <v>1.0</v>
      </c>
      <c r="L178" s="272">
        <v>1.0</v>
      </c>
      <c r="P178" s="272">
        <v>1.0</v>
      </c>
      <c r="R178" s="272">
        <v>2.0</v>
      </c>
      <c r="T178" s="262"/>
      <c r="U178" s="262"/>
      <c r="Y178" s="272" t="s">
        <v>171</v>
      </c>
      <c r="Z178" s="272" t="s">
        <v>176</v>
      </c>
      <c r="AB178" t="s">
        <v>290</v>
      </c>
    </row>
    <row r="179">
      <c r="H179" s="272" t="s">
        <v>290</v>
      </c>
      <c r="I179" s="272" t="s">
        <v>292</v>
      </c>
      <c r="J179" s="272">
        <v>2.0</v>
      </c>
      <c r="K179" s="272">
        <v>2.0</v>
      </c>
      <c r="P179" s="272"/>
      <c r="R179" s="272">
        <v>-1.0</v>
      </c>
      <c r="T179" s="262"/>
      <c r="U179" s="262"/>
      <c r="Y179" s="272" t="s">
        <v>171</v>
      </c>
      <c r="AB179" t="s">
        <v>290</v>
      </c>
    </row>
    <row r="180">
      <c r="H180" s="272" t="s">
        <v>169</v>
      </c>
      <c r="I180" s="272" t="s">
        <v>293</v>
      </c>
      <c r="J180" s="272">
        <v>1.0</v>
      </c>
      <c r="K180" s="272">
        <v>1.0</v>
      </c>
      <c r="M180" s="272">
        <v>1.0</v>
      </c>
      <c r="N180" s="272"/>
      <c r="O180" s="272"/>
      <c r="P180" s="272">
        <v>2.0</v>
      </c>
      <c r="R180" s="272"/>
      <c r="T180" s="262"/>
      <c r="U180" s="262"/>
      <c r="Y180" s="272" t="s">
        <v>171</v>
      </c>
      <c r="AB180" t="s">
        <v>169</v>
      </c>
    </row>
    <row r="181">
      <c r="H181" s="272" t="s">
        <v>169</v>
      </c>
      <c r="I181" s="272" t="s">
        <v>294</v>
      </c>
      <c r="J181" s="272">
        <v>-1.0</v>
      </c>
      <c r="K181" s="272">
        <v>2.0</v>
      </c>
      <c r="P181" s="272">
        <v>1.0</v>
      </c>
      <c r="Q181" s="272">
        <v>2.0</v>
      </c>
      <c r="T181" s="262"/>
      <c r="U181" s="262"/>
      <c r="Y181" s="272" t="s">
        <v>173</v>
      </c>
      <c r="AB181" t="s">
        <v>169</v>
      </c>
    </row>
    <row r="182">
      <c r="H182" s="272" t="s">
        <v>219</v>
      </c>
      <c r="I182" s="272" t="s">
        <v>295</v>
      </c>
      <c r="J182" s="272">
        <v>2.0</v>
      </c>
      <c r="L182" s="272">
        <v>2.0</v>
      </c>
      <c r="Q182" s="272">
        <v>1.0</v>
      </c>
      <c r="T182" s="262"/>
      <c r="U182" s="262"/>
      <c r="Y182" s="272" t="s">
        <v>176</v>
      </c>
      <c r="AB182" t="s">
        <v>219</v>
      </c>
    </row>
    <row r="183">
      <c r="H183" s="272" t="s">
        <v>169</v>
      </c>
      <c r="I183" s="272" t="s">
        <v>296</v>
      </c>
      <c r="K183" s="272">
        <v>2.0</v>
      </c>
      <c r="P183" s="272">
        <v>1.0</v>
      </c>
      <c r="R183" s="272">
        <v>2.0</v>
      </c>
      <c r="T183" s="262"/>
      <c r="U183" s="262"/>
      <c r="Y183" s="272" t="s">
        <v>171</v>
      </c>
      <c r="AB183" t="s">
        <v>169</v>
      </c>
    </row>
    <row r="184">
      <c r="H184" s="272" t="s">
        <v>169</v>
      </c>
      <c r="I184" s="272" t="s">
        <v>297</v>
      </c>
      <c r="J184" s="272">
        <v>3.0</v>
      </c>
      <c r="L184" s="272">
        <v>2.0</v>
      </c>
      <c r="P184" s="272">
        <v>-1.0</v>
      </c>
      <c r="Q184" s="272">
        <v>1.0</v>
      </c>
      <c r="S184" s="272">
        <v>-1.0</v>
      </c>
      <c r="T184" s="262"/>
      <c r="U184" s="262"/>
      <c r="Y184" s="272" t="s">
        <v>176</v>
      </c>
      <c r="AB184" t="s">
        <v>169</v>
      </c>
    </row>
    <row r="185">
      <c r="H185" s="272" t="s">
        <v>169</v>
      </c>
      <c r="I185" s="272" t="s">
        <v>298</v>
      </c>
      <c r="J185" s="272">
        <v>2.0</v>
      </c>
      <c r="K185" s="272">
        <v>-1.0</v>
      </c>
      <c r="M185" s="272">
        <v>2.0</v>
      </c>
      <c r="N185" s="272"/>
      <c r="O185" s="272"/>
      <c r="T185" s="271"/>
      <c r="U185" s="271"/>
      <c r="V185" s="272"/>
      <c r="W185" s="272">
        <v>2.0</v>
      </c>
      <c r="Y185" s="272" t="s">
        <v>171</v>
      </c>
      <c r="AB185" t="s">
        <v>169</v>
      </c>
    </row>
    <row r="186">
      <c r="H186" s="272" t="s">
        <v>299</v>
      </c>
      <c r="I186" s="272" t="s">
        <v>300</v>
      </c>
      <c r="K186" s="272">
        <v>1.0</v>
      </c>
      <c r="M186" s="272">
        <v>1.0</v>
      </c>
      <c r="N186" s="272"/>
      <c r="O186" s="272"/>
      <c r="P186" s="272">
        <v>2.0</v>
      </c>
      <c r="S186" s="272">
        <v>1.0</v>
      </c>
      <c r="T186" s="262"/>
      <c r="U186" s="262"/>
      <c r="Y186" s="272" t="s">
        <v>171</v>
      </c>
      <c r="AB186" t="s">
        <v>299</v>
      </c>
    </row>
    <row r="187">
      <c r="H187" s="272" t="s">
        <v>169</v>
      </c>
      <c r="I187" s="272" t="s">
        <v>301</v>
      </c>
      <c r="K187" s="272">
        <v>1.0</v>
      </c>
      <c r="P187" s="272">
        <v>1.0</v>
      </c>
      <c r="Q187" s="272">
        <v>2.0</v>
      </c>
      <c r="R187" s="272">
        <v>1.0</v>
      </c>
      <c r="T187" s="262"/>
      <c r="U187" s="262"/>
      <c r="Y187" s="272" t="s">
        <v>173</v>
      </c>
      <c r="Z187" s="272" t="s">
        <v>171</v>
      </c>
      <c r="AB187" t="s">
        <v>169</v>
      </c>
    </row>
    <row r="188">
      <c r="H188" s="272" t="s">
        <v>169</v>
      </c>
      <c r="I188" s="272" t="s">
        <v>302</v>
      </c>
      <c r="L188" s="272">
        <v>1.0</v>
      </c>
      <c r="M188" s="272">
        <v>2.0</v>
      </c>
      <c r="N188" s="272"/>
      <c r="O188" s="272"/>
      <c r="P188" s="272">
        <v>1.0</v>
      </c>
      <c r="T188" s="262"/>
      <c r="U188" s="262"/>
      <c r="X188" s="272">
        <v>1.0</v>
      </c>
      <c r="Y188" s="272" t="s">
        <v>171</v>
      </c>
      <c r="AB188" t="s">
        <v>169</v>
      </c>
    </row>
    <row r="189">
      <c r="H189" s="272" t="s">
        <v>169</v>
      </c>
      <c r="I189" s="272" t="s">
        <v>303</v>
      </c>
      <c r="J189" s="272">
        <v>1.0</v>
      </c>
      <c r="K189" s="272">
        <v>2.0</v>
      </c>
      <c r="P189" s="272">
        <v>2.0</v>
      </c>
      <c r="R189" s="272">
        <v>-1.0</v>
      </c>
      <c r="S189" s="272">
        <v>1.0</v>
      </c>
      <c r="T189" s="262"/>
      <c r="U189" s="262"/>
      <c r="Y189" s="272" t="s">
        <v>171</v>
      </c>
      <c r="Z189" s="272" t="s">
        <v>176</v>
      </c>
      <c r="AB189" t="s">
        <v>169</v>
      </c>
    </row>
    <row r="190">
      <c r="H190" s="272" t="s">
        <v>169</v>
      </c>
      <c r="I190" s="272" t="s">
        <v>304</v>
      </c>
      <c r="K190" s="272">
        <v>2.0</v>
      </c>
      <c r="P190" s="272">
        <v>2.0</v>
      </c>
      <c r="Q190" s="272">
        <v>1.0</v>
      </c>
      <c r="T190" s="262"/>
      <c r="U190" s="262"/>
      <c r="Y190" s="272" t="s">
        <v>171</v>
      </c>
      <c r="AB190" t="s">
        <v>169</v>
      </c>
    </row>
    <row r="191">
      <c r="T191" s="262"/>
      <c r="U191" s="262"/>
    </row>
    <row r="192">
      <c r="T192" s="262"/>
      <c r="U192" s="262"/>
    </row>
    <row r="193">
      <c r="T193" s="262"/>
      <c r="U193" s="262"/>
    </row>
    <row r="194">
      <c r="T194" s="262"/>
      <c r="U194" s="262"/>
    </row>
    <row r="195">
      <c r="T195" s="262"/>
      <c r="U195" s="262"/>
    </row>
    <row r="196">
      <c r="T196" s="262"/>
      <c r="U196" s="262"/>
    </row>
    <row r="197">
      <c r="T197" s="262"/>
      <c r="U197" s="262"/>
    </row>
    <row r="198">
      <c r="T198" s="262"/>
      <c r="U198" s="262"/>
    </row>
    <row r="199">
      <c r="T199" s="262"/>
      <c r="U199" s="262"/>
    </row>
    <row r="200">
      <c r="T200" s="262"/>
      <c r="U200" s="262"/>
    </row>
    <row r="201">
      <c r="T201" s="262"/>
      <c r="U201" s="262"/>
    </row>
    <row r="202">
      <c r="T202" s="262"/>
      <c r="U202" s="262"/>
    </row>
    <row r="203">
      <c r="T203" s="262"/>
      <c r="U203" s="262"/>
    </row>
    <row r="204">
      <c r="T204" s="262"/>
      <c r="U204" s="262"/>
    </row>
    <row r="205">
      <c r="T205" s="262"/>
      <c r="U205" s="262"/>
    </row>
    <row r="206">
      <c r="T206" s="262"/>
      <c r="U206" s="262"/>
    </row>
    <row r="207">
      <c r="T207" s="262"/>
      <c r="U207" s="262"/>
    </row>
    <row r="208">
      <c r="T208" s="262"/>
      <c r="U208" s="262"/>
    </row>
    <row r="209">
      <c r="T209" s="262"/>
      <c r="U209" s="262"/>
    </row>
    <row r="210">
      <c r="T210" s="262"/>
      <c r="U210" s="262"/>
    </row>
    <row r="211">
      <c r="T211" s="262"/>
      <c r="U211" s="262"/>
    </row>
    <row r="212">
      <c r="T212" s="262"/>
      <c r="U212" s="262"/>
    </row>
    <row r="213">
      <c r="T213" s="262"/>
      <c r="U213" s="262"/>
    </row>
    <row r="214">
      <c r="T214" s="262"/>
      <c r="U214" s="262"/>
    </row>
    <row r="215">
      <c r="T215" s="262"/>
      <c r="U215" s="262"/>
    </row>
    <row r="216">
      <c r="T216" s="262"/>
      <c r="U216" s="262"/>
    </row>
    <row r="217">
      <c r="T217" s="262"/>
      <c r="U217" s="262"/>
    </row>
    <row r="218">
      <c r="T218" s="262"/>
      <c r="U218" s="262"/>
    </row>
    <row r="219">
      <c r="T219" s="262"/>
      <c r="U219" s="262"/>
    </row>
    <row r="220">
      <c r="T220" s="262"/>
      <c r="U220" s="262"/>
    </row>
    <row r="221">
      <c r="T221" s="262"/>
      <c r="U221" s="262"/>
    </row>
    <row r="222">
      <c r="T222" s="262"/>
      <c r="U222" s="262"/>
    </row>
    <row r="223">
      <c r="T223" s="262"/>
      <c r="U223" s="262"/>
    </row>
    <row r="224">
      <c r="T224" s="262"/>
      <c r="U224" s="262"/>
    </row>
    <row r="225">
      <c r="T225" s="262"/>
      <c r="U225" s="262"/>
    </row>
    <row r="226">
      <c r="T226" s="262"/>
      <c r="U226" s="262"/>
    </row>
    <row r="227">
      <c r="T227" s="262"/>
      <c r="U227" s="262"/>
    </row>
    <row r="228">
      <c r="T228" s="262"/>
      <c r="U228" s="262"/>
    </row>
    <row r="229">
      <c r="T229" s="262"/>
      <c r="U229" s="262"/>
    </row>
    <row r="230">
      <c r="T230" s="262"/>
      <c r="U230" s="262"/>
    </row>
    <row r="231">
      <c r="T231" s="262"/>
      <c r="U231" s="262"/>
    </row>
    <row r="232">
      <c r="T232" s="262"/>
      <c r="U232" s="262"/>
    </row>
    <row r="233">
      <c r="T233" s="262"/>
      <c r="U233" s="262"/>
    </row>
    <row r="234">
      <c r="T234" s="262"/>
      <c r="U234" s="262"/>
    </row>
    <row r="235">
      <c r="T235" s="262"/>
      <c r="U235" s="262"/>
    </row>
    <row r="236">
      <c r="T236" s="262"/>
      <c r="U236" s="262"/>
    </row>
    <row r="237">
      <c r="T237" s="262"/>
      <c r="U237" s="262"/>
    </row>
    <row r="238">
      <c r="T238" s="262"/>
      <c r="U238" s="262"/>
    </row>
    <row r="239">
      <c r="T239" s="262"/>
      <c r="U239" s="262"/>
    </row>
    <row r="240">
      <c r="T240" s="262"/>
      <c r="U240" s="262"/>
    </row>
    <row r="241">
      <c r="T241" s="262"/>
      <c r="U241" s="262"/>
    </row>
    <row r="242">
      <c r="T242" s="262"/>
      <c r="U242" s="262"/>
    </row>
    <row r="243">
      <c r="T243" s="262"/>
      <c r="U243" s="262"/>
    </row>
    <row r="244">
      <c r="T244" s="262"/>
      <c r="U244" s="262"/>
    </row>
    <row r="245">
      <c r="T245" s="262"/>
      <c r="U245" s="262"/>
    </row>
    <row r="246">
      <c r="T246" s="262"/>
      <c r="U246" s="262"/>
    </row>
    <row r="247">
      <c r="T247" s="262"/>
      <c r="U247" s="262"/>
    </row>
    <row r="248">
      <c r="T248" s="262"/>
      <c r="U248" s="262"/>
    </row>
    <row r="249">
      <c r="T249" s="262"/>
      <c r="U249" s="262"/>
    </row>
    <row r="250">
      <c r="T250" s="262"/>
      <c r="U250" s="262"/>
    </row>
    <row r="251">
      <c r="T251" s="262"/>
      <c r="U251" s="262"/>
    </row>
    <row r="252">
      <c r="T252" s="262"/>
      <c r="U252" s="262"/>
    </row>
    <row r="253">
      <c r="T253" s="262"/>
      <c r="U253" s="262"/>
    </row>
    <row r="254">
      <c r="T254" s="262"/>
      <c r="U254" s="262"/>
    </row>
    <row r="255">
      <c r="T255" s="262"/>
      <c r="U255" s="262"/>
    </row>
    <row r="256">
      <c r="T256" s="262"/>
      <c r="U256" s="262"/>
    </row>
    <row r="257">
      <c r="T257" s="262"/>
      <c r="U257" s="262"/>
    </row>
    <row r="258">
      <c r="T258" s="262"/>
      <c r="U258" s="262"/>
    </row>
    <row r="259">
      <c r="T259" s="262"/>
      <c r="U259" s="262"/>
    </row>
    <row r="260">
      <c r="T260" s="262"/>
      <c r="U260" s="262"/>
    </row>
    <row r="261">
      <c r="T261" s="262"/>
      <c r="U261" s="262"/>
    </row>
    <row r="262">
      <c r="T262" s="262"/>
      <c r="U262" s="262"/>
    </row>
    <row r="263">
      <c r="T263" s="262"/>
      <c r="U263" s="262"/>
    </row>
    <row r="264">
      <c r="T264" s="262"/>
      <c r="U264" s="262"/>
    </row>
    <row r="265">
      <c r="T265" s="262"/>
      <c r="U265" s="262"/>
    </row>
    <row r="266">
      <c r="T266" s="262"/>
      <c r="U266" s="262"/>
    </row>
    <row r="267">
      <c r="T267" s="262"/>
      <c r="U267" s="262"/>
    </row>
    <row r="268">
      <c r="T268" s="262"/>
      <c r="U268" s="262"/>
    </row>
    <row r="269">
      <c r="T269" s="262"/>
      <c r="U269" s="262"/>
    </row>
    <row r="270">
      <c r="T270" s="262"/>
      <c r="U270" s="262"/>
    </row>
    <row r="271">
      <c r="T271" s="262"/>
      <c r="U271" s="262"/>
    </row>
    <row r="272">
      <c r="T272" s="262"/>
      <c r="U272" s="262"/>
    </row>
    <row r="273">
      <c r="T273" s="262"/>
      <c r="U273" s="262"/>
    </row>
    <row r="274">
      <c r="T274" s="262"/>
      <c r="U274" s="262"/>
    </row>
    <row r="275">
      <c r="T275" s="262"/>
      <c r="U275" s="262"/>
    </row>
    <row r="276">
      <c r="T276" s="262"/>
      <c r="U276" s="262"/>
    </row>
    <row r="277">
      <c r="T277" s="262"/>
      <c r="U277" s="262"/>
    </row>
    <row r="278">
      <c r="T278" s="262"/>
      <c r="U278" s="262"/>
    </row>
    <row r="279">
      <c r="T279" s="262"/>
      <c r="U279" s="262"/>
    </row>
    <row r="280">
      <c r="T280" s="262"/>
      <c r="U280" s="262"/>
    </row>
    <row r="281">
      <c r="T281" s="262"/>
      <c r="U281" s="262"/>
    </row>
    <row r="282">
      <c r="T282" s="262"/>
      <c r="U282" s="262"/>
    </row>
    <row r="283">
      <c r="T283" s="262"/>
      <c r="U283" s="262"/>
    </row>
    <row r="284">
      <c r="T284" s="262"/>
      <c r="U284" s="262"/>
    </row>
    <row r="285">
      <c r="T285" s="262"/>
      <c r="U285" s="262"/>
    </row>
    <row r="286">
      <c r="T286" s="262"/>
      <c r="U286" s="262"/>
    </row>
    <row r="287">
      <c r="T287" s="262"/>
      <c r="U287" s="262"/>
    </row>
    <row r="288">
      <c r="T288" s="262"/>
      <c r="U288" s="262"/>
    </row>
    <row r="289">
      <c r="T289" s="262"/>
      <c r="U289" s="262"/>
    </row>
    <row r="290">
      <c r="T290" s="262"/>
      <c r="U290" s="262"/>
    </row>
    <row r="291">
      <c r="T291" s="262"/>
      <c r="U291" s="262"/>
    </row>
    <row r="292">
      <c r="T292" s="262"/>
      <c r="U292" s="262"/>
    </row>
    <row r="293">
      <c r="T293" s="262"/>
      <c r="U293" s="262"/>
    </row>
    <row r="294">
      <c r="T294" s="262"/>
      <c r="U294" s="262"/>
    </row>
    <row r="295">
      <c r="T295" s="262"/>
      <c r="U295" s="262"/>
    </row>
    <row r="296">
      <c r="T296" s="262"/>
      <c r="U296" s="262"/>
    </row>
    <row r="297">
      <c r="T297" s="262"/>
      <c r="U297" s="262"/>
    </row>
    <row r="298">
      <c r="T298" s="262"/>
      <c r="U298" s="262"/>
    </row>
    <row r="299">
      <c r="T299" s="262"/>
      <c r="U299" s="262"/>
    </row>
    <row r="300">
      <c r="T300" s="262"/>
      <c r="U300" s="262"/>
    </row>
    <row r="301">
      <c r="T301" s="262"/>
      <c r="U301" s="262"/>
    </row>
    <row r="302">
      <c r="T302" s="262"/>
      <c r="U302" s="262"/>
    </row>
    <row r="303">
      <c r="T303" s="262"/>
      <c r="U303" s="262"/>
    </row>
    <row r="304">
      <c r="T304" s="262"/>
      <c r="U304" s="262"/>
    </row>
    <row r="305">
      <c r="T305" s="262"/>
      <c r="U305" s="262"/>
    </row>
    <row r="306">
      <c r="T306" s="262"/>
      <c r="U306" s="262"/>
    </row>
    <row r="307">
      <c r="T307" s="262"/>
      <c r="U307" s="262"/>
    </row>
    <row r="308">
      <c r="T308" s="262"/>
      <c r="U308" s="262"/>
    </row>
    <row r="309">
      <c r="T309" s="262"/>
      <c r="U309" s="262"/>
    </row>
    <row r="310">
      <c r="T310" s="262"/>
      <c r="U310" s="262"/>
    </row>
    <row r="311">
      <c r="T311" s="262"/>
      <c r="U311" s="262"/>
    </row>
    <row r="312">
      <c r="T312" s="262"/>
      <c r="U312" s="262"/>
    </row>
    <row r="313">
      <c r="T313" s="262"/>
      <c r="U313" s="262"/>
    </row>
    <row r="314">
      <c r="T314" s="262"/>
      <c r="U314" s="262"/>
    </row>
    <row r="315">
      <c r="T315" s="262"/>
      <c r="U315" s="262"/>
    </row>
    <row r="316">
      <c r="T316" s="262"/>
      <c r="U316" s="262"/>
    </row>
    <row r="317">
      <c r="T317" s="262"/>
      <c r="U317" s="262"/>
    </row>
    <row r="318">
      <c r="T318" s="262"/>
      <c r="U318" s="262"/>
    </row>
    <row r="319">
      <c r="T319" s="262"/>
      <c r="U319" s="262"/>
    </row>
    <row r="320">
      <c r="T320" s="262"/>
      <c r="U320" s="262"/>
    </row>
    <row r="321">
      <c r="T321" s="262"/>
      <c r="U321" s="262"/>
    </row>
    <row r="322">
      <c r="T322" s="262"/>
      <c r="U322" s="262"/>
    </row>
    <row r="323">
      <c r="T323" s="262"/>
      <c r="U323" s="262"/>
    </row>
    <row r="324">
      <c r="T324" s="262"/>
      <c r="U324" s="262"/>
    </row>
    <row r="325">
      <c r="T325" s="262"/>
      <c r="U325" s="262"/>
    </row>
    <row r="326">
      <c r="T326" s="262"/>
      <c r="U326" s="262"/>
    </row>
    <row r="327">
      <c r="T327" s="262"/>
      <c r="U327" s="262"/>
    </row>
    <row r="328">
      <c r="T328" s="262"/>
      <c r="U328" s="262"/>
    </row>
    <row r="329">
      <c r="T329" s="262"/>
      <c r="U329" s="262"/>
    </row>
    <row r="330">
      <c r="T330" s="262"/>
      <c r="U330" s="262"/>
    </row>
    <row r="331">
      <c r="T331" s="262"/>
      <c r="U331" s="262"/>
    </row>
    <row r="332">
      <c r="T332" s="262"/>
      <c r="U332" s="262"/>
    </row>
    <row r="333">
      <c r="T333" s="262"/>
      <c r="U333" s="262"/>
    </row>
    <row r="334">
      <c r="T334" s="262"/>
      <c r="U334" s="262"/>
    </row>
    <row r="335">
      <c r="T335" s="262"/>
      <c r="U335" s="262"/>
    </row>
    <row r="336">
      <c r="T336" s="262"/>
      <c r="U336" s="262"/>
    </row>
    <row r="337">
      <c r="T337" s="262"/>
      <c r="U337" s="262"/>
    </row>
    <row r="338">
      <c r="T338" s="262"/>
      <c r="U338" s="262"/>
    </row>
    <row r="339">
      <c r="T339" s="262"/>
      <c r="U339" s="262"/>
    </row>
    <row r="340">
      <c r="T340" s="262"/>
      <c r="U340" s="262"/>
    </row>
    <row r="341">
      <c r="T341" s="262"/>
      <c r="U341" s="262"/>
    </row>
    <row r="342">
      <c r="T342" s="262"/>
      <c r="U342" s="262"/>
    </row>
    <row r="343">
      <c r="T343" s="262"/>
      <c r="U343" s="262"/>
    </row>
    <row r="344">
      <c r="T344" s="262"/>
      <c r="U344" s="262"/>
    </row>
    <row r="345">
      <c r="T345" s="262"/>
      <c r="U345" s="262"/>
    </row>
    <row r="346">
      <c r="T346" s="262"/>
      <c r="U346" s="262"/>
    </row>
    <row r="347">
      <c r="T347" s="262"/>
      <c r="U347" s="262"/>
    </row>
    <row r="348">
      <c r="T348" s="262"/>
      <c r="U348" s="262"/>
    </row>
    <row r="349">
      <c r="T349" s="262"/>
      <c r="U349" s="262"/>
    </row>
    <row r="350">
      <c r="T350" s="262"/>
      <c r="U350" s="262"/>
    </row>
    <row r="351">
      <c r="T351" s="262"/>
      <c r="U351" s="262"/>
    </row>
    <row r="352">
      <c r="T352" s="262"/>
      <c r="U352" s="262"/>
    </row>
    <row r="353">
      <c r="T353" s="262"/>
      <c r="U353" s="262"/>
    </row>
    <row r="354">
      <c r="T354" s="262"/>
      <c r="U354" s="262"/>
    </row>
    <row r="355">
      <c r="T355" s="262"/>
      <c r="U355" s="262"/>
    </row>
    <row r="356">
      <c r="T356" s="262"/>
      <c r="U356" s="262"/>
    </row>
    <row r="357">
      <c r="T357" s="262"/>
      <c r="U357" s="262"/>
    </row>
    <row r="358">
      <c r="T358" s="262"/>
      <c r="U358" s="262"/>
    </row>
    <row r="359">
      <c r="T359" s="262"/>
      <c r="U359" s="262"/>
    </row>
    <row r="360">
      <c r="T360" s="262"/>
      <c r="U360" s="262"/>
    </row>
    <row r="361">
      <c r="T361" s="262"/>
      <c r="U361" s="262"/>
    </row>
    <row r="362">
      <c r="T362" s="262"/>
      <c r="U362" s="262"/>
    </row>
    <row r="363">
      <c r="T363" s="262"/>
      <c r="U363" s="262"/>
    </row>
    <row r="364">
      <c r="T364" s="262"/>
      <c r="U364" s="262"/>
    </row>
    <row r="365">
      <c r="T365" s="262"/>
      <c r="U365" s="262"/>
    </row>
    <row r="366">
      <c r="T366" s="262"/>
      <c r="U366" s="262"/>
    </row>
    <row r="367">
      <c r="T367" s="262"/>
      <c r="U367" s="262"/>
    </row>
    <row r="368">
      <c r="T368" s="262"/>
      <c r="U368" s="262"/>
    </row>
    <row r="369">
      <c r="T369" s="262"/>
      <c r="U369" s="262"/>
    </row>
    <row r="370">
      <c r="T370" s="262"/>
      <c r="U370" s="262"/>
    </row>
    <row r="371">
      <c r="T371" s="262"/>
      <c r="U371" s="262"/>
    </row>
    <row r="372">
      <c r="T372" s="262"/>
      <c r="U372" s="262"/>
    </row>
    <row r="373">
      <c r="T373" s="262"/>
      <c r="U373" s="262"/>
    </row>
    <row r="374">
      <c r="T374" s="262"/>
      <c r="U374" s="262"/>
    </row>
    <row r="375">
      <c r="T375" s="262"/>
      <c r="U375" s="262"/>
    </row>
    <row r="376">
      <c r="T376" s="262"/>
      <c r="U376" s="262"/>
    </row>
    <row r="377">
      <c r="T377" s="262"/>
      <c r="U377" s="262"/>
    </row>
    <row r="378">
      <c r="T378" s="262"/>
      <c r="U378" s="262"/>
    </row>
    <row r="379">
      <c r="T379" s="262"/>
      <c r="U379" s="262"/>
    </row>
    <row r="380">
      <c r="T380" s="262"/>
      <c r="U380" s="262"/>
    </row>
    <row r="381">
      <c r="T381" s="262"/>
      <c r="U381" s="262"/>
    </row>
    <row r="382">
      <c r="T382" s="262"/>
      <c r="U382" s="262"/>
    </row>
    <row r="383">
      <c r="T383" s="262"/>
      <c r="U383" s="262"/>
    </row>
    <row r="384">
      <c r="T384" s="262"/>
      <c r="U384" s="262"/>
    </row>
    <row r="385">
      <c r="T385" s="262"/>
      <c r="U385" s="262"/>
    </row>
    <row r="386">
      <c r="T386" s="262"/>
      <c r="U386" s="262"/>
    </row>
    <row r="387">
      <c r="T387" s="262"/>
      <c r="U387" s="262"/>
    </row>
    <row r="388">
      <c r="T388" s="262"/>
      <c r="U388" s="262"/>
    </row>
    <row r="389">
      <c r="T389" s="262"/>
      <c r="U389" s="262"/>
    </row>
    <row r="390">
      <c r="T390" s="262"/>
      <c r="U390" s="262"/>
    </row>
    <row r="391">
      <c r="T391" s="262"/>
      <c r="U391" s="262"/>
    </row>
    <row r="392">
      <c r="T392" s="262"/>
      <c r="U392" s="262"/>
    </row>
    <row r="393">
      <c r="T393" s="262"/>
      <c r="U393" s="262"/>
    </row>
    <row r="394">
      <c r="T394" s="262"/>
      <c r="U394" s="262"/>
    </row>
    <row r="395">
      <c r="T395" s="262"/>
      <c r="U395" s="262"/>
    </row>
    <row r="396">
      <c r="T396" s="262"/>
      <c r="U396" s="262"/>
    </row>
    <row r="397">
      <c r="T397" s="262"/>
      <c r="U397" s="262"/>
    </row>
    <row r="398">
      <c r="T398" s="262"/>
      <c r="U398" s="262"/>
    </row>
    <row r="399">
      <c r="T399" s="262"/>
      <c r="U399" s="262"/>
    </row>
    <row r="400">
      <c r="T400" s="262"/>
      <c r="U400" s="262"/>
    </row>
    <row r="401">
      <c r="T401" s="262"/>
      <c r="U401" s="262"/>
    </row>
    <row r="402">
      <c r="T402" s="262"/>
      <c r="U402" s="262"/>
    </row>
    <row r="403">
      <c r="T403" s="262"/>
      <c r="U403" s="262"/>
    </row>
    <row r="404">
      <c r="T404" s="262"/>
      <c r="U404" s="262"/>
    </row>
    <row r="405">
      <c r="T405" s="262"/>
      <c r="U405" s="262"/>
    </row>
    <row r="406">
      <c r="T406" s="262"/>
      <c r="U406" s="262"/>
    </row>
    <row r="407">
      <c r="T407" s="262"/>
      <c r="U407" s="262"/>
    </row>
    <row r="408">
      <c r="T408" s="262"/>
      <c r="U408" s="262"/>
    </row>
    <row r="409">
      <c r="T409" s="262"/>
      <c r="U409" s="262"/>
    </row>
    <row r="410">
      <c r="T410" s="262"/>
      <c r="U410" s="262"/>
    </row>
    <row r="411">
      <c r="T411" s="262"/>
      <c r="U411" s="262"/>
    </row>
    <row r="412">
      <c r="T412" s="262"/>
      <c r="U412" s="262"/>
    </row>
    <row r="413">
      <c r="T413" s="262"/>
      <c r="U413" s="262"/>
    </row>
    <row r="414">
      <c r="T414" s="262"/>
      <c r="U414" s="262"/>
    </row>
    <row r="415">
      <c r="T415" s="262"/>
      <c r="U415" s="262"/>
    </row>
    <row r="416">
      <c r="T416" s="262"/>
      <c r="U416" s="262"/>
    </row>
    <row r="417">
      <c r="T417" s="262"/>
      <c r="U417" s="262"/>
    </row>
    <row r="418">
      <c r="T418" s="262"/>
      <c r="U418" s="262"/>
    </row>
    <row r="419">
      <c r="T419" s="262"/>
      <c r="U419" s="262"/>
    </row>
    <row r="420">
      <c r="T420" s="262"/>
      <c r="U420" s="262"/>
    </row>
    <row r="421">
      <c r="T421" s="262"/>
      <c r="U421" s="262"/>
    </row>
    <row r="422">
      <c r="T422" s="262"/>
      <c r="U422" s="262"/>
    </row>
    <row r="423">
      <c r="T423" s="262"/>
      <c r="U423" s="262"/>
    </row>
    <row r="424">
      <c r="T424" s="262"/>
      <c r="U424" s="262"/>
    </row>
    <row r="425">
      <c r="T425" s="262"/>
      <c r="U425" s="262"/>
    </row>
    <row r="426">
      <c r="T426" s="262"/>
      <c r="U426" s="262"/>
    </row>
    <row r="427">
      <c r="T427" s="262"/>
      <c r="U427" s="262"/>
    </row>
    <row r="428">
      <c r="T428" s="262"/>
      <c r="U428" s="262"/>
    </row>
    <row r="429">
      <c r="T429" s="262"/>
      <c r="U429" s="262"/>
    </row>
    <row r="430">
      <c r="T430" s="262"/>
      <c r="U430" s="262"/>
    </row>
    <row r="431">
      <c r="T431" s="262"/>
      <c r="U431" s="262"/>
    </row>
    <row r="432">
      <c r="T432" s="262"/>
      <c r="U432" s="262"/>
    </row>
    <row r="433">
      <c r="T433" s="262"/>
      <c r="U433" s="262"/>
    </row>
    <row r="434">
      <c r="T434" s="262"/>
      <c r="U434" s="262"/>
    </row>
    <row r="435">
      <c r="T435" s="262"/>
      <c r="U435" s="262"/>
    </row>
    <row r="436">
      <c r="T436" s="262"/>
      <c r="U436" s="262"/>
    </row>
    <row r="437">
      <c r="T437" s="262"/>
      <c r="U437" s="262"/>
    </row>
    <row r="438">
      <c r="T438" s="262"/>
      <c r="U438" s="262"/>
    </row>
    <row r="439">
      <c r="T439" s="262"/>
      <c r="U439" s="262"/>
    </row>
    <row r="440">
      <c r="T440" s="262"/>
      <c r="U440" s="262"/>
    </row>
    <row r="441">
      <c r="T441" s="262"/>
      <c r="U441" s="262"/>
    </row>
    <row r="442">
      <c r="T442" s="262"/>
      <c r="U442" s="262"/>
    </row>
    <row r="443">
      <c r="T443" s="262"/>
      <c r="U443" s="262"/>
    </row>
    <row r="444">
      <c r="T444" s="262"/>
      <c r="U444" s="262"/>
    </row>
    <row r="445">
      <c r="T445" s="262"/>
      <c r="U445" s="262"/>
    </row>
    <row r="446">
      <c r="T446" s="262"/>
      <c r="U446" s="262"/>
    </row>
    <row r="447">
      <c r="T447" s="262"/>
      <c r="U447" s="262"/>
    </row>
    <row r="448">
      <c r="T448" s="262"/>
      <c r="U448" s="262"/>
    </row>
    <row r="449">
      <c r="T449" s="262"/>
      <c r="U449" s="262"/>
    </row>
    <row r="450">
      <c r="T450" s="262"/>
      <c r="U450" s="262"/>
    </row>
    <row r="451">
      <c r="T451" s="262"/>
      <c r="U451" s="262"/>
    </row>
    <row r="452">
      <c r="T452" s="262"/>
      <c r="U452" s="262"/>
    </row>
    <row r="453">
      <c r="T453" s="262"/>
      <c r="U453" s="262"/>
    </row>
    <row r="454">
      <c r="T454" s="262"/>
      <c r="U454" s="262"/>
    </row>
    <row r="455">
      <c r="T455" s="262"/>
      <c r="U455" s="262"/>
    </row>
    <row r="456">
      <c r="T456" s="262"/>
      <c r="U456" s="262"/>
    </row>
    <row r="457">
      <c r="T457" s="262"/>
      <c r="U457" s="262"/>
    </row>
    <row r="458">
      <c r="T458" s="262"/>
      <c r="U458" s="262"/>
    </row>
    <row r="459">
      <c r="T459" s="262"/>
      <c r="U459" s="262"/>
    </row>
    <row r="460">
      <c r="T460" s="262"/>
      <c r="U460" s="262"/>
    </row>
    <row r="461">
      <c r="T461" s="262"/>
      <c r="U461" s="262"/>
    </row>
    <row r="462">
      <c r="T462" s="262"/>
      <c r="U462" s="262"/>
    </row>
    <row r="463">
      <c r="T463" s="262"/>
      <c r="U463" s="262"/>
    </row>
    <row r="464">
      <c r="T464" s="262"/>
      <c r="U464" s="262"/>
    </row>
    <row r="465">
      <c r="T465" s="262"/>
      <c r="U465" s="262"/>
    </row>
    <row r="466">
      <c r="T466" s="262"/>
      <c r="U466" s="262"/>
    </row>
    <row r="467">
      <c r="T467" s="262"/>
      <c r="U467" s="262"/>
    </row>
    <row r="468">
      <c r="T468" s="262"/>
      <c r="U468" s="262"/>
    </row>
    <row r="469">
      <c r="T469" s="262"/>
      <c r="U469" s="262"/>
    </row>
    <row r="470">
      <c r="T470" s="262"/>
      <c r="U470" s="262"/>
    </row>
    <row r="471">
      <c r="T471" s="262"/>
      <c r="U471" s="262"/>
    </row>
    <row r="472">
      <c r="T472" s="262"/>
      <c r="U472" s="262"/>
    </row>
    <row r="473">
      <c r="T473" s="262"/>
      <c r="U473" s="262"/>
    </row>
    <row r="474">
      <c r="T474" s="262"/>
      <c r="U474" s="262"/>
    </row>
    <row r="475">
      <c r="T475" s="262"/>
      <c r="U475" s="262"/>
    </row>
    <row r="476">
      <c r="T476" s="262"/>
      <c r="U476" s="262"/>
    </row>
    <row r="477">
      <c r="T477" s="262"/>
      <c r="U477" s="262"/>
    </row>
    <row r="478">
      <c r="T478" s="262"/>
      <c r="U478" s="262"/>
    </row>
    <row r="479">
      <c r="T479" s="262"/>
      <c r="U479" s="262"/>
    </row>
    <row r="480">
      <c r="T480" s="262"/>
      <c r="U480" s="262"/>
    </row>
    <row r="481">
      <c r="T481" s="262"/>
      <c r="U481" s="262"/>
    </row>
    <row r="482">
      <c r="T482" s="262"/>
      <c r="U482" s="262"/>
    </row>
    <row r="483">
      <c r="T483" s="262"/>
      <c r="U483" s="262"/>
    </row>
    <row r="484">
      <c r="T484" s="262"/>
      <c r="U484" s="262"/>
    </row>
    <row r="485">
      <c r="T485" s="262"/>
      <c r="U485" s="262"/>
    </row>
    <row r="486">
      <c r="T486" s="262"/>
      <c r="U486" s="262"/>
    </row>
    <row r="487">
      <c r="T487" s="262"/>
      <c r="U487" s="262"/>
    </row>
    <row r="488">
      <c r="T488" s="262"/>
      <c r="U488" s="262"/>
    </row>
    <row r="489">
      <c r="T489" s="262"/>
      <c r="U489" s="262"/>
    </row>
    <row r="490">
      <c r="T490" s="262"/>
      <c r="U490" s="262"/>
    </row>
    <row r="491">
      <c r="T491" s="262"/>
      <c r="U491" s="262"/>
    </row>
    <row r="492">
      <c r="T492" s="262"/>
      <c r="U492" s="262"/>
    </row>
    <row r="493">
      <c r="T493" s="262"/>
      <c r="U493" s="262"/>
    </row>
    <row r="494">
      <c r="T494" s="262"/>
      <c r="U494" s="262"/>
    </row>
    <row r="495">
      <c r="T495" s="262"/>
      <c r="U495" s="262"/>
    </row>
    <row r="496">
      <c r="T496" s="262"/>
      <c r="U496" s="262"/>
    </row>
    <row r="497">
      <c r="T497" s="262"/>
      <c r="U497" s="262"/>
    </row>
    <row r="498">
      <c r="T498" s="262"/>
      <c r="U498" s="262"/>
    </row>
    <row r="499">
      <c r="T499" s="262"/>
      <c r="U499" s="262"/>
    </row>
    <row r="500">
      <c r="T500" s="262"/>
      <c r="U500" s="262"/>
    </row>
    <row r="501">
      <c r="T501" s="262"/>
      <c r="U501" s="262"/>
    </row>
    <row r="502">
      <c r="T502" s="262"/>
      <c r="U502" s="262"/>
    </row>
    <row r="503">
      <c r="T503" s="262"/>
      <c r="U503" s="262"/>
    </row>
    <row r="504">
      <c r="T504" s="262"/>
      <c r="U504" s="262"/>
    </row>
    <row r="505">
      <c r="T505" s="262"/>
      <c r="U505" s="262"/>
    </row>
    <row r="506">
      <c r="T506" s="262"/>
      <c r="U506" s="262"/>
    </row>
    <row r="507">
      <c r="T507" s="262"/>
      <c r="U507" s="262"/>
    </row>
    <row r="508">
      <c r="T508" s="262"/>
      <c r="U508" s="262"/>
    </row>
    <row r="509">
      <c r="T509" s="262"/>
      <c r="U509" s="262"/>
    </row>
    <row r="510">
      <c r="T510" s="262"/>
      <c r="U510" s="262"/>
    </row>
    <row r="511">
      <c r="T511" s="262"/>
      <c r="U511" s="262"/>
    </row>
    <row r="512">
      <c r="T512" s="262"/>
      <c r="U512" s="262"/>
    </row>
    <row r="513">
      <c r="T513" s="262"/>
      <c r="U513" s="262"/>
    </row>
    <row r="514">
      <c r="T514" s="262"/>
      <c r="U514" s="262"/>
    </row>
    <row r="515">
      <c r="T515" s="262"/>
      <c r="U515" s="262"/>
    </row>
    <row r="516">
      <c r="T516" s="262"/>
      <c r="U516" s="262"/>
    </row>
    <row r="517">
      <c r="T517" s="262"/>
      <c r="U517" s="262"/>
    </row>
    <row r="518">
      <c r="T518" s="262"/>
      <c r="U518" s="262"/>
    </row>
    <row r="519">
      <c r="T519" s="262"/>
      <c r="U519" s="262"/>
    </row>
    <row r="520">
      <c r="T520" s="262"/>
      <c r="U520" s="262"/>
    </row>
    <row r="521">
      <c r="T521" s="262"/>
      <c r="U521" s="262"/>
    </row>
    <row r="522">
      <c r="T522" s="262"/>
      <c r="U522" s="262"/>
    </row>
    <row r="523">
      <c r="T523" s="262"/>
      <c r="U523" s="262"/>
    </row>
    <row r="524">
      <c r="T524" s="262"/>
      <c r="U524" s="262"/>
    </row>
    <row r="525">
      <c r="T525" s="262"/>
      <c r="U525" s="262"/>
    </row>
    <row r="526">
      <c r="T526" s="262"/>
      <c r="U526" s="262"/>
    </row>
    <row r="527">
      <c r="T527" s="262"/>
      <c r="U527" s="262"/>
    </row>
    <row r="528">
      <c r="T528" s="262"/>
      <c r="U528" s="262"/>
    </row>
    <row r="529">
      <c r="T529" s="262"/>
      <c r="U529" s="262"/>
    </row>
    <row r="530">
      <c r="T530" s="262"/>
      <c r="U530" s="262"/>
    </row>
    <row r="531">
      <c r="T531" s="262"/>
      <c r="U531" s="262"/>
    </row>
    <row r="532">
      <c r="T532" s="262"/>
      <c r="U532" s="262"/>
    </row>
    <row r="533">
      <c r="T533" s="262"/>
      <c r="U533" s="262"/>
    </row>
    <row r="534">
      <c r="T534" s="262"/>
      <c r="U534" s="262"/>
    </row>
    <row r="535">
      <c r="T535" s="262"/>
      <c r="U535" s="262"/>
    </row>
    <row r="536">
      <c r="T536" s="262"/>
      <c r="U536" s="262"/>
    </row>
    <row r="537">
      <c r="T537" s="262"/>
      <c r="U537" s="262"/>
    </row>
    <row r="538">
      <c r="T538" s="262"/>
      <c r="U538" s="262"/>
    </row>
    <row r="539">
      <c r="T539" s="262"/>
      <c r="U539" s="262"/>
    </row>
    <row r="540">
      <c r="T540" s="262"/>
      <c r="U540" s="262"/>
    </row>
    <row r="541">
      <c r="T541" s="262"/>
      <c r="U541" s="262"/>
    </row>
    <row r="542">
      <c r="T542" s="262"/>
      <c r="U542" s="262"/>
    </row>
    <row r="543">
      <c r="T543" s="262"/>
      <c r="U543" s="262"/>
    </row>
    <row r="544">
      <c r="T544" s="262"/>
      <c r="U544" s="262"/>
    </row>
    <row r="545">
      <c r="T545" s="262"/>
      <c r="U545" s="262"/>
    </row>
    <row r="546">
      <c r="T546" s="262"/>
      <c r="U546" s="262"/>
    </row>
    <row r="547">
      <c r="T547" s="262"/>
      <c r="U547" s="262"/>
    </row>
    <row r="548">
      <c r="T548" s="262"/>
      <c r="U548" s="262"/>
    </row>
    <row r="549">
      <c r="T549" s="262"/>
      <c r="U549" s="262"/>
    </row>
    <row r="550">
      <c r="T550" s="262"/>
      <c r="U550" s="262"/>
    </row>
    <row r="551">
      <c r="T551" s="262"/>
      <c r="U551" s="262"/>
    </row>
    <row r="552">
      <c r="T552" s="262"/>
      <c r="U552" s="262"/>
    </row>
    <row r="553">
      <c r="T553" s="262"/>
      <c r="U553" s="262"/>
    </row>
    <row r="554">
      <c r="T554" s="262"/>
      <c r="U554" s="262"/>
    </row>
    <row r="555">
      <c r="T555" s="262"/>
      <c r="U555" s="262"/>
    </row>
    <row r="556">
      <c r="T556" s="262"/>
      <c r="U556" s="262"/>
    </row>
    <row r="557">
      <c r="T557" s="262"/>
      <c r="U557" s="262"/>
    </row>
    <row r="558">
      <c r="T558" s="262"/>
      <c r="U558" s="262"/>
    </row>
    <row r="559">
      <c r="T559" s="262"/>
      <c r="U559" s="262"/>
    </row>
    <row r="560">
      <c r="T560" s="262"/>
      <c r="U560" s="262"/>
    </row>
    <row r="561">
      <c r="T561" s="262"/>
      <c r="U561" s="262"/>
    </row>
    <row r="562">
      <c r="T562" s="262"/>
      <c r="U562" s="262"/>
    </row>
    <row r="563">
      <c r="T563" s="262"/>
      <c r="U563" s="262"/>
    </row>
    <row r="564">
      <c r="T564" s="262"/>
      <c r="U564" s="262"/>
    </row>
    <row r="565">
      <c r="T565" s="262"/>
      <c r="U565" s="262"/>
    </row>
    <row r="566">
      <c r="T566" s="262"/>
      <c r="U566" s="262"/>
    </row>
    <row r="567">
      <c r="T567" s="262"/>
      <c r="U567" s="262"/>
    </row>
    <row r="568">
      <c r="T568" s="262"/>
      <c r="U568" s="262"/>
    </row>
    <row r="569">
      <c r="T569" s="262"/>
      <c r="U569" s="262"/>
    </row>
    <row r="570">
      <c r="T570" s="262"/>
      <c r="U570" s="262"/>
    </row>
    <row r="571">
      <c r="T571" s="262"/>
      <c r="U571" s="262"/>
    </row>
    <row r="572">
      <c r="T572" s="262"/>
      <c r="U572" s="262"/>
    </row>
    <row r="573">
      <c r="T573" s="262"/>
      <c r="U573" s="262"/>
    </row>
    <row r="574">
      <c r="T574" s="262"/>
      <c r="U574" s="262"/>
    </row>
    <row r="575">
      <c r="T575" s="262"/>
      <c r="U575" s="262"/>
    </row>
    <row r="576">
      <c r="T576" s="262"/>
      <c r="U576" s="262"/>
    </row>
    <row r="577">
      <c r="T577" s="262"/>
      <c r="U577" s="262"/>
    </row>
    <row r="578">
      <c r="T578" s="262"/>
      <c r="U578" s="262"/>
    </row>
    <row r="579">
      <c r="T579" s="262"/>
      <c r="U579" s="262"/>
    </row>
    <row r="580">
      <c r="T580" s="262"/>
      <c r="U580" s="262"/>
    </row>
    <row r="581">
      <c r="T581" s="262"/>
      <c r="U581" s="262"/>
    </row>
    <row r="582">
      <c r="T582" s="262"/>
      <c r="U582" s="262"/>
    </row>
    <row r="583">
      <c r="T583" s="262"/>
      <c r="U583" s="262"/>
    </row>
    <row r="584">
      <c r="T584" s="262"/>
      <c r="U584" s="262"/>
    </row>
    <row r="585">
      <c r="T585" s="262"/>
      <c r="U585" s="262"/>
    </row>
    <row r="586">
      <c r="T586" s="262"/>
      <c r="U586" s="262"/>
    </row>
    <row r="587">
      <c r="T587" s="262"/>
      <c r="U587" s="262"/>
    </row>
    <row r="588">
      <c r="T588" s="262"/>
      <c r="U588" s="262"/>
    </row>
    <row r="589">
      <c r="T589" s="262"/>
      <c r="U589" s="262"/>
    </row>
    <row r="590">
      <c r="T590" s="262"/>
      <c r="U590" s="262"/>
    </row>
    <row r="591">
      <c r="T591" s="262"/>
      <c r="U591" s="262"/>
    </row>
    <row r="592">
      <c r="T592" s="262"/>
      <c r="U592" s="262"/>
    </row>
    <row r="593">
      <c r="T593" s="262"/>
      <c r="U593" s="262"/>
    </row>
    <row r="594">
      <c r="T594" s="262"/>
      <c r="U594" s="262"/>
    </row>
    <row r="595">
      <c r="T595" s="262"/>
      <c r="U595" s="262"/>
    </row>
    <row r="596">
      <c r="T596" s="262"/>
      <c r="U596" s="262"/>
    </row>
    <row r="597">
      <c r="T597" s="262"/>
      <c r="U597" s="262"/>
    </row>
    <row r="598">
      <c r="T598" s="262"/>
      <c r="U598" s="262"/>
    </row>
    <row r="599">
      <c r="T599" s="262"/>
      <c r="U599" s="262"/>
    </row>
    <row r="600">
      <c r="T600" s="262"/>
      <c r="U600" s="262"/>
    </row>
    <row r="601">
      <c r="T601" s="262"/>
      <c r="U601" s="262"/>
    </row>
    <row r="602">
      <c r="T602" s="262"/>
      <c r="U602" s="262"/>
    </row>
    <row r="603">
      <c r="T603" s="262"/>
      <c r="U603" s="262"/>
    </row>
    <row r="604">
      <c r="T604" s="262"/>
      <c r="U604" s="262"/>
    </row>
    <row r="605">
      <c r="T605" s="262"/>
      <c r="U605" s="262"/>
    </row>
    <row r="606">
      <c r="T606" s="262"/>
      <c r="U606" s="262"/>
    </row>
    <row r="607">
      <c r="T607" s="262"/>
      <c r="U607" s="262"/>
    </row>
    <row r="608">
      <c r="T608" s="262"/>
      <c r="U608" s="262"/>
    </row>
    <row r="609">
      <c r="T609" s="262"/>
      <c r="U609" s="262"/>
    </row>
    <row r="610">
      <c r="T610" s="262"/>
      <c r="U610" s="262"/>
    </row>
    <row r="611">
      <c r="T611" s="262"/>
      <c r="U611" s="262"/>
    </row>
    <row r="612">
      <c r="T612" s="262"/>
      <c r="U612" s="262"/>
    </row>
    <row r="613">
      <c r="T613" s="262"/>
      <c r="U613" s="262"/>
    </row>
    <row r="614">
      <c r="T614" s="262"/>
      <c r="U614" s="262"/>
    </row>
    <row r="615">
      <c r="T615" s="262"/>
      <c r="U615" s="262"/>
    </row>
    <row r="616">
      <c r="T616" s="262"/>
      <c r="U616" s="262"/>
    </row>
    <row r="617">
      <c r="T617" s="262"/>
      <c r="U617" s="262"/>
    </row>
    <row r="618">
      <c r="T618" s="262"/>
      <c r="U618" s="262"/>
    </row>
    <row r="619">
      <c r="T619" s="262"/>
      <c r="U619" s="262"/>
    </row>
    <row r="620">
      <c r="T620" s="262"/>
      <c r="U620" s="262"/>
    </row>
    <row r="621">
      <c r="T621" s="262"/>
      <c r="U621" s="262"/>
    </row>
    <row r="622">
      <c r="T622" s="262"/>
      <c r="U622" s="262"/>
    </row>
    <row r="623">
      <c r="T623" s="262"/>
      <c r="U623" s="262"/>
    </row>
    <row r="624">
      <c r="T624" s="262"/>
      <c r="U624" s="262"/>
    </row>
    <row r="625">
      <c r="T625" s="262"/>
      <c r="U625" s="262"/>
    </row>
    <row r="626">
      <c r="T626" s="262"/>
      <c r="U626" s="262"/>
    </row>
    <row r="627">
      <c r="T627" s="262"/>
      <c r="U627" s="262"/>
    </row>
    <row r="628">
      <c r="T628" s="262"/>
      <c r="U628" s="262"/>
    </row>
    <row r="629">
      <c r="T629" s="262"/>
      <c r="U629" s="262"/>
    </row>
    <row r="630">
      <c r="T630" s="262"/>
      <c r="U630" s="262"/>
    </row>
    <row r="631">
      <c r="T631" s="262"/>
      <c r="U631" s="262"/>
    </row>
    <row r="632">
      <c r="T632" s="262"/>
      <c r="U632" s="262"/>
    </row>
    <row r="633">
      <c r="T633" s="262"/>
      <c r="U633" s="262"/>
    </row>
    <row r="634">
      <c r="T634" s="262"/>
      <c r="U634" s="262"/>
    </row>
    <row r="635">
      <c r="T635" s="262"/>
      <c r="U635" s="262"/>
    </row>
    <row r="636">
      <c r="T636" s="262"/>
      <c r="U636" s="262"/>
    </row>
    <row r="637">
      <c r="T637" s="262"/>
      <c r="U637" s="262"/>
    </row>
    <row r="638">
      <c r="T638" s="262"/>
      <c r="U638" s="262"/>
    </row>
    <row r="639">
      <c r="T639" s="262"/>
      <c r="U639" s="262"/>
    </row>
    <row r="640">
      <c r="T640" s="262"/>
      <c r="U640" s="262"/>
    </row>
    <row r="641">
      <c r="T641" s="262"/>
      <c r="U641" s="262"/>
    </row>
    <row r="642">
      <c r="T642" s="262"/>
      <c r="U642" s="262"/>
    </row>
    <row r="643">
      <c r="T643" s="262"/>
      <c r="U643" s="262"/>
    </row>
    <row r="644">
      <c r="T644" s="262"/>
      <c r="U644" s="262"/>
    </row>
    <row r="645">
      <c r="T645" s="262"/>
      <c r="U645" s="262"/>
    </row>
    <row r="646">
      <c r="T646" s="262"/>
      <c r="U646" s="262"/>
    </row>
    <row r="647">
      <c r="T647" s="262"/>
      <c r="U647" s="262"/>
    </row>
    <row r="648">
      <c r="T648" s="262"/>
      <c r="U648" s="262"/>
    </row>
    <row r="649">
      <c r="T649" s="262"/>
      <c r="U649" s="262"/>
    </row>
    <row r="650">
      <c r="T650" s="262"/>
      <c r="U650" s="262"/>
    </row>
    <row r="651">
      <c r="T651" s="262"/>
      <c r="U651" s="262"/>
    </row>
    <row r="652">
      <c r="T652" s="262"/>
      <c r="U652" s="262"/>
    </row>
    <row r="653">
      <c r="T653" s="262"/>
      <c r="U653" s="262"/>
    </row>
    <row r="654">
      <c r="T654" s="262"/>
      <c r="U654" s="262"/>
    </row>
    <row r="655">
      <c r="T655" s="262"/>
      <c r="U655" s="262"/>
    </row>
    <row r="656">
      <c r="T656" s="262"/>
      <c r="U656" s="262"/>
    </row>
    <row r="657">
      <c r="T657" s="262"/>
      <c r="U657" s="262"/>
    </row>
    <row r="658">
      <c r="T658" s="262"/>
      <c r="U658" s="262"/>
    </row>
    <row r="659">
      <c r="T659" s="262"/>
      <c r="U659" s="262"/>
    </row>
    <row r="660">
      <c r="T660" s="262"/>
      <c r="U660" s="262"/>
    </row>
    <row r="661">
      <c r="T661" s="262"/>
      <c r="U661" s="262"/>
    </row>
    <row r="662">
      <c r="T662" s="262"/>
      <c r="U662" s="262"/>
    </row>
    <row r="663">
      <c r="T663" s="262"/>
      <c r="U663" s="262"/>
    </row>
    <row r="664">
      <c r="T664" s="262"/>
      <c r="U664" s="262"/>
    </row>
    <row r="665">
      <c r="T665" s="262"/>
      <c r="U665" s="262"/>
    </row>
    <row r="666">
      <c r="T666" s="262"/>
      <c r="U666" s="262"/>
    </row>
    <row r="667">
      <c r="T667" s="262"/>
      <c r="U667" s="262"/>
    </row>
    <row r="668">
      <c r="T668" s="262"/>
      <c r="U668" s="262"/>
    </row>
    <row r="669">
      <c r="T669" s="262"/>
      <c r="U669" s="262"/>
    </row>
    <row r="670">
      <c r="T670" s="262"/>
      <c r="U670" s="262"/>
    </row>
    <row r="671">
      <c r="T671" s="262"/>
      <c r="U671" s="262"/>
    </row>
    <row r="672">
      <c r="T672" s="262"/>
      <c r="U672" s="262"/>
    </row>
    <row r="673">
      <c r="T673" s="262"/>
      <c r="U673" s="262"/>
    </row>
    <row r="674">
      <c r="T674" s="262"/>
      <c r="U674" s="262"/>
    </row>
    <row r="675">
      <c r="T675" s="262"/>
      <c r="U675" s="262"/>
    </row>
    <row r="676">
      <c r="T676" s="262"/>
      <c r="U676" s="262"/>
    </row>
    <row r="677">
      <c r="T677" s="262"/>
      <c r="U677" s="262"/>
    </row>
    <row r="678">
      <c r="T678" s="262"/>
      <c r="U678" s="262"/>
    </row>
    <row r="679">
      <c r="T679" s="262"/>
      <c r="U679" s="262"/>
    </row>
    <row r="680">
      <c r="T680" s="262"/>
      <c r="U680" s="262"/>
    </row>
    <row r="681">
      <c r="T681" s="262"/>
      <c r="U681" s="262"/>
    </row>
    <row r="682">
      <c r="T682" s="262"/>
      <c r="U682" s="262"/>
    </row>
    <row r="683">
      <c r="T683" s="262"/>
      <c r="U683" s="262"/>
    </row>
    <row r="684">
      <c r="T684" s="262"/>
      <c r="U684" s="262"/>
    </row>
    <row r="685">
      <c r="T685" s="262"/>
      <c r="U685" s="262"/>
    </row>
    <row r="686">
      <c r="T686" s="262"/>
      <c r="U686" s="262"/>
    </row>
    <row r="687">
      <c r="T687" s="262"/>
      <c r="U687" s="262"/>
    </row>
    <row r="688">
      <c r="T688" s="262"/>
      <c r="U688" s="262"/>
    </row>
    <row r="689">
      <c r="T689" s="262"/>
      <c r="U689" s="262"/>
    </row>
    <row r="690">
      <c r="T690" s="262"/>
      <c r="U690" s="262"/>
    </row>
    <row r="691">
      <c r="T691" s="262"/>
      <c r="U691" s="262"/>
    </row>
    <row r="692">
      <c r="T692" s="262"/>
      <c r="U692" s="262"/>
    </row>
    <row r="693">
      <c r="T693" s="262"/>
      <c r="U693" s="262"/>
    </row>
    <row r="694">
      <c r="T694" s="262"/>
      <c r="U694" s="262"/>
    </row>
    <row r="695">
      <c r="T695" s="262"/>
      <c r="U695" s="262"/>
    </row>
    <row r="696">
      <c r="T696" s="262"/>
      <c r="U696" s="262"/>
    </row>
    <row r="697">
      <c r="T697" s="262"/>
      <c r="U697" s="262"/>
    </row>
    <row r="698">
      <c r="T698" s="262"/>
      <c r="U698" s="262"/>
    </row>
    <row r="699">
      <c r="T699" s="262"/>
      <c r="U699" s="262"/>
    </row>
    <row r="700">
      <c r="T700" s="262"/>
      <c r="U700" s="262"/>
    </row>
    <row r="701">
      <c r="T701" s="262"/>
      <c r="U701" s="262"/>
    </row>
    <row r="702">
      <c r="T702" s="262"/>
      <c r="U702" s="262"/>
    </row>
    <row r="703">
      <c r="T703" s="262"/>
      <c r="U703" s="262"/>
    </row>
    <row r="704">
      <c r="T704" s="262"/>
      <c r="U704" s="262"/>
    </row>
    <row r="705">
      <c r="T705" s="262"/>
      <c r="U705" s="262"/>
    </row>
    <row r="706">
      <c r="T706" s="262"/>
      <c r="U706" s="262"/>
    </row>
    <row r="707">
      <c r="T707" s="262"/>
      <c r="U707" s="262"/>
    </row>
    <row r="708">
      <c r="T708" s="262"/>
      <c r="U708" s="262"/>
    </row>
    <row r="709">
      <c r="T709" s="262"/>
      <c r="U709" s="262"/>
    </row>
    <row r="710">
      <c r="T710" s="262"/>
      <c r="U710" s="262"/>
    </row>
    <row r="711">
      <c r="T711" s="262"/>
      <c r="U711" s="262"/>
    </row>
    <row r="712">
      <c r="T712" s="262"/>
      <c r="U712" s="262"/>
    </row>
    <row r="713">
      <c r="T713" s="262"/>
      <c r="U713" s="262"/>
    </row>
    <row r="714">
      <c r="T714" s="262"/>
      <c r="U714" s="262"/>
    </row>
    <row r="715">
      <c r="T715" s="262"/>
      <c r="U715" s="262"/>
    </row>
    <row r="716">
      <c r="T716" s="262"/>
      <c r="U716" s="262"/>
    </row>
    <row r="717">
      <c r="T717" s="262"/>
      <c r="U717" s="262"/>
    </row>
    <row r="718">
      <c r="T718" s="262"/>
      <c r="U718" s="262"/>
    </row>
    <row r="719">
      <c r="T719" s="262"/>
      <c r="U719" s="262"/>
    </row>
    <row r="720">
      <c r="T720" s="262"/>
      <c r="U720" s="262"/>
    </row>
    <row r="721">
      <c r="T721" s="262"/>
      <c r="U721" s="262"/>
    </row>
    <row r="722">
      <c r="T722" s="262"/>
      <c r="U722" s="262"/>
    </row>
    <row r="723">
      <c r="T723" s="262"/>
      <c r="U723" s="262"/>
    </row>
    <row r="724">
      <c r="T724" s="262"/>
      <c r="U724" s="262"/>
    </row>
    <row r="725">
      <c r="T725" s="262"/>
      <c r="U725" s="262"/>
    </row>
    <row r="726">
      <c r="T726" s="262"/>
      <c r="U726" s="262"/>
    </row>
    <row r="727">
      <c r="T727" s="262"/>
      <c r="U727" s="262"/>
    </row>
    <row r="728">
      <c r="T728" s="262"/>
      <c r="U728" s="262"/>
    </row>
    <row r="729">
      <c r="T729" s="262"/>
      <c r="U729" s="262"/>
    </row>
    <row r="730">
      <c r="T730" s="262"/>
      <c r="U730" s="262"/>
    </row>
    <row r="731">
      <c r="T731" s="262"/>
      <c r="U731" s="262"/>
    </row>
    <row r="732">
      <c r="T732" s="262"/>
      <c r="U732" s="262"/>
    </row>
    <row r="733">
      <c r="T733" s="262"/>
      <c r="U733" s="262"/>
    </row>
    <row r="734">
      <c r="T734" s="262"/>
      <c r="U734" s="262"/>
    </row>
    <row r="735">
      <c r="T735" s="262"/>
      <c r="U735" s="262"/>
    </row>
    <row r="736">
      <c r="T736" s="262"/>
      <c r="U736" s="262"/>
    </row>
    <row r="737">
      <c r="T737" s="262"/>
      <c r="U737" s="262"/>
    </row>
    <row r="738">
      <c r="T738" s="262"/>
      <c r="U738" s="262"/>
    </row>
    <row r="739">
      <c r="T739" s="262"/>
      <c r="U739" s="262"/>
    </row>
    <row r="740">
      <c r="T740" s="262"/>
      <c r="U740" s="262"/>
    </row>
    <row r="741">
      <c r="T741" s="262"/>
      <c r="U741" s="262"/>
    </row>
    <row r="742">
      <c r="T742" s="262"/>
      <c r="U742" s="262"/>
    </row>
    <row r="743">
      <c r="T743" s="262"/>
      <c r="U743" s="262"/>
    </row>
    <row r="744">
      <c r="T744" s="262"/>
      <c r="U744" s="262"/>
    </row>
    <row r="745">
      <c r="T745" s="262"/>
      <c r="U745" s="262"/>
    </row>
    <row r="746">
      <c r="T746" s="262"/>
      <c r="U746" s="262"/>
    </row>
    <row r="747">
      <c r="T747" s="262"/>
      <c r="U747" s="262"/>
    </row>
    <row r="748">
      <c r="T748" s="262"/>
      <c r="U748" s="262"/>
    </row>
    <row r="749">
      <c r="T749" s="262"/>
      <c r="U749" s="262"/>
    </row>
    <row r="750">
      <c r="T750" s="262"/>
      <c r="U750" s="262"/>
    </row>
    <row r="751">
      <c r="T751" s="262"/>
      <c r="U751" s="262"/>
    </row>
    <row r="752">
      <c r="T752" s="262"/>
      <c r="U752" s="262"/>
    </row>
    <row r="753">
      <c r="T753" s="262"/>
      <c r="U753" s="262"/>
    </row>
    <row r="754">
      <c r="T754" s="262"/>
      <c r="U754" s="262"/>
    </row>
    <row r="755">
      <c r="T755" s="262"/>
      <c r="U755" s="262"/>
    </row>
    <row r="756">
      <c r="T756" s="262"/>
      <c r="U756" s="262"/>
    </row>
    <row r="757">
      <c r="T757" s="262"/>
      <c r="U757" s="262"/>
    </row>
    <row r="758">
      <c r="T758" s="262"/>
      <c r="U758" s="262"/>
    </row>
    <row r="759">
      <c r="T759" s="262"/>
      <c r="U759" s="262"/>
    </row>
    <row r="760">
      <c r="T760" s="262"/>
      <c r="U760" s="262"/>
    </row>
    <row r="761">
      <c r="T761" s="262"/>
      <c r="U761" s="262"/>
    </row>
    <row r="762">
      <c r="T762" s="262"/>
      <c r="U762" s="262"/>
    </row>
    <row r="763">
      <c r="T763" s="262"/>
      <c r="U763" s="262"/>
    </row>
    <row r="764">
      <c r="T764" s="262"/>
      <c r="U764" s="262"/>
    </row>
    <row r="765">
      <c r="T765" s="262"/>
      <c r="U765" s="262"/>
    </row>
    <row r="766">
      <c r="T766" s="262"/>
      <c r="U766" s="262"/>
    </row>
    <row r="767">
      <c r="T767" s="262"/>
      <c r="U767" s="262"/>
    </row>
    <row r="768">
      <c r="T768" s="262"/>
      <c r="U768" s="262"/>
    </row>
    <row r="769">
      <c r="T769" s="262"/>
      <c r="U769" s="262"/>
    </row>
    <row r="770">
      <c r="T770" s="262"/>
      <c r="U770" s="262"/>
    </row>
    <row r="771">
      <c r="T771" s="262"/>
      <c r="U771" s="262"/>
    </row>
    <row r="772">
      <c r="T772" s="262"/>
      <c r="U772" s="262"/>
    </row>
    <row r="773">
      <c r="T773" s="262"/>
      <c r="U773" s="262"/>
    </row>
    <row r="774">
      <c r="T774" s="262"/>
      <c r="U774" s="262"/>
    </row>
    <row r="775">
      <c r="T775" s="262"/>
      <c r="U775" s="262"/>
    </row>
    <row r="776">
      <c r="T776" s="262"/>
      <c r="U776" s="262"/>
    </row>
    <row r="777">
      <c r="T777" s="262"/>
      <c r="U777" s="262"/>
    </row>
    <row r="778">
      <c r="T778" s="262"/>
      <c r="U778" s="262"/>
    </row>
    <row r="779">
      <c r="T779" s="262"/>
      <c r="U779" s="262"/>
    </row>
    <row r="780">
      <c r="T780" s="262"/>
      <c r="U780" s="262"/>
    </row>
    <row r="781">
      <c r="T781" s="262"/>
      <c r="U781" s="262"/>
    </row>
    <row r="782">
      <c r="T782" s="262"/>
      <c r="U782" s="262"/>
    </row>
    <row r="783">
      <c r="T783" s="262"/>
      <c r="U783" s="262"/>
    </row>
    <row r="784">
      <c r="T784" s="262"/>
      <c r="U784" s="262"/>
    </row>
    <row r="785">
      <c r="T785" s="262"/>
      <c r="U785" s="262"/>
    </row>
    <row r="786">
      <c r="T786" s="262"/>
      <c r="U786" s="262"/>
    </row>
    <row r="787">
      <c r="T787" s="262"/>
      <c r="U787" s="262"/>
    </row>
    <row r="788">
      <c r="T788" s="262"/>
      <c r="U788" s="262"/>
    </row>
    <row r="789">
      <c r="T789" s="262"/>
      <c r="U789" s="262"/>
    </row>
    <row r="790">
      <c r="T790" s="262"/>
      <c r="U790" s="262"/>
    </row>
    <row r="791">
      <c r="T791" s="262"/>
      <c r="U791" s="262"/>
    </row>
    <row r="792">
      <c r="T792" s="262"/>
      <c r="U792" s="262"/>
    </row>
    <row r="793">
      <c r="T793" s="262"/>
      <c r="U793" s="262"/>
    </row>
    <row r="794">
      <c r="T794" s="262"/>
      <c r="U794" s="262"/>
    </row>
    <row r="795">
      <c r="T795" s="262"/>
      <c r="U795" s="262"/>
    </row>
    <row r="796">
      <c r="T796" s="262"/>
      <c r="U796" s="262"/>
    </row>
    <row r="797">
      <c r="T797" s="262"/>
      <c r="U797" s="262"/>
    </row>
    <row r="798">
      <c r="T798" s="262"/>
      <c r="U798" s="262"/>
    </row>
    <row r="799">
      <c r="T799" s="262"/>
      <c r="U799" s="262"/>
    </row>
    <row r="800">
      <c r="T800" s="262"/>
      <c r="U800" s="262"/>
    </row>
    <row r="801">
      <c r="T801" s="262"/>
      <c r="U801" s="262"/>
    </row>
    <row r="802">
      <c r="T802" s="262"/>
      <c r="U802" s="262"/>
    </row>
    <row r="803">
      <c r="T803" s="262"/>
      <c r="U803" s="262"/>
    </row>
    <row r="804">
      <c r="T804" s="262"/>
      <c r="U804" s="262"/>
    </row>
    <row r="805">
      <c r="T805" s="262"/>
      <c r="U805" s="262"/>
    </row>
    <row r="806">
      <c r="T806" s="262"/>
      <c r="U806" s="262"/>
    </row>
    <row r="807">
      <c r="T807" s="262"/>
      <c r="U807" s="262"/>
    </row>
    <row r="808">
      <c r="T808" s="262"/>
      <c r="U808" s="262"/>
    </row>
    <row r="809">
      <c r="T809" s="262"/>
      <c r="U809" s="262"/>
    </row>
    <row r="810">
      <c r="T810" s="262"/>
      <c r="U810" s="262"/>
    </row>
    <row r="811">
      <c r="T811" s="262"/>
      <c r="U811" s="262"/>
    </row>
    <row r="812">
      <c r="T812" s="262"/>
      <c r="U812" s="262"/>
    </row>
    <row r="813">
      <c r="T813" s="262"/>
      <c r="U813" s="262"/>
    </row>
    <row r="814">
      <c r="T814" s="262"/>
      <c r="U814" s="262"/>
    </row>
    <row r="815">
      <c r="T815" s="262"/>
      <c r="U815" s="262"/>
    </row>
    <row r="816">
      <c r="T816" s="262"/>
      <c r="U816" s="262"/>
    </row>
    <row r="817">
      <c r="T817" s="262"/>
      <c r="U817" s="262"/>
    </row>
    <row r="818">
      <c r="T818" s="262"/>
      <c r="U818" s="262"/>
    </row>
    <row r="819">
      <c r="T819" s="262"/>
      <c r="U819" s="262"/>
    </row>
    <row r="820">
      <c r="T820" s="262"/>
      <c r="U820" s="262"/>
    </row>
    <row r="821">
      <c r="T821" s="262"/>
      <c r="U821" s="262"/>
    </row>
    <row r="822">
      <c r="T822" s="262"/>
      <c r="U822" s="262"/>
    </row>
    <row r="823">
      <c r="T823" s="262"/>
      <c r="U823" s="262"/>
    </row>
    <row r="824">
      <c r="T824" s="262"/>
      <c r="U824" s="262"/>
    </row>
    <row r="825">
      <c r="T825" s="262"/>
      <c r="U825" s="262"/>
    </row>
    <row r="826">
      <c r="T826" s="262"/>
      <c r="U826" s="262"/>
    </row>
    <row r="827">
      <c r="T827" s="262"/>
      <c r="U827" s="262"/>
    </row>
    <row r="828">
      <c r="T828" s="262"/>
      <c r="U828" s="262"/>
    </row>
    <row r="829">
      <c r="T829" s="262"/>
      <c r="U829" s="262"/>
    </row>
    <row r="830">
      <c r="T830" s="262"/>
      <c r="U830" s="262"/>
    </row>
    <row r="831">
      <c r="T831" s="262"/>
      <c r="U831" s="262"/>
    </row>
    <row r="832">
      <c r="T832" s="262"/>
      <c r="U832" s="262"/>
    </row>
    <row r="833">
      <c r="T833" s="262"/>
      <c r="U833" s="262"/>
    </row>
    <row r="834">
      <c r="T834" s="262"/>
      <c r="U834" s="262"/>
    </row>
    <row r="835">
      <c r="T835" s="262"/>
      <c r="U835" s="262"/>
    </row>
    <row r="836">
      <c r="T836" s="262"/>
      <c r="U836" s="262"/>
    </row>
    <row r="837">
      <c r="T837" s="262"/>
      <c r="U837" s="262"/>
    </row>
    <row r="838">
      <c r="T838" s="262"/>
      <c r="U838" s="262"/>
    </row>
    <row r="839">
      <c r="T839" s="262"/>
      <c r="U839" s="262"/>
    </row>
    <row r="840">
      <c r="T840" s="262"/>
      <c r="U840" s="262"/>
    </row>
    <row r="841">
      <c r="T841" s="262"/>
      <c r="U841" s="262"/>
    </row>
    <row r="842">
      <c r="T842" s="262"/>
      <c r="U842" s="262"/>
    </row>
    <row r="843">
      <c r="T843" s="262"/>
      <c r="U843" s="262"/>
    </row>
    <row r="844">
      <c r="T844" s="262"/>
      <c r="U844" s="262"/>
    </row>
    <row r="845">
      <c r="T845" s="262"/>
      <c r="U845" s="262"/>
    </row>
    <row r="846">
      <c r="T846" s="262"/>
      <c r="U846" s="262"/>
    </row>
    <row r="847">
      <c r="T847" s="262"/>
      <c r="U847" s="262"/>
    </row>
    <row r="848">
      <c r="T848" s="262"/>
      <c r="U848" s="262"/>
    </row>
    <row r="849">
      <c r="T849" s="262"/>
      <c r="U849" s="262"/>
    </row>
    <row r="850">
      <c r="T850" s="262"/>
      <c r="U850" s="262"/>
    </row>
    <row r="851">
      <c r="T851" s="262"/>
      <c r="U851" s="262"/>
    </row>
    <row r="852">
      <c r="T852" s="262"/>
      <c r="U852" s="262"/>
    </row>
    <row r="853">
      <c r="T853" s="262"/>
      <c r="U853" s="262"/>
    </row>
    <row r="854">
      <c r="T854" s="262"/>
      <c r="U854" s="262"/>
    </row>
    <row r="855">
      <c r="T855" s="262"/>
      <c r="U855" s="262"/>
    </row>
    <row r="856">
      <c r="T856" s="262"/>
      <c r="U856" s="262"/>
    </row>
    <row r="857">
      <c r="T857" s="262"/>
      <c r="U857" s="262"/>
    </row>
    <row r="858">
      <c r="T858" s="262"/>
      <c r="U858" s="262"/>
    </row>
    <row r="859">
      <c r="T859" s="262"/>
      <c r="U859" s="262"/>
    </row>
    <row r="860">
      <c r="T860" s="262"/>
      <c r="U860" s="262"/>
    </row>
    <row r="861">
      <c r="T861" s="262"/>
      <c r="U861" s="262"/>
    </row>
    <row r="862">
      <c r="T862" s="262"/>
      <c r="U862" s="262"/>
    </row>
    <row r="863">
      <c r="T863" s="262"/>
      <c r="U863" s="262"/>
    </row>
    <row r="864">
      <c r="T864" s="262"/>
      <c r="U864" s="262"/>
    </row>
    <row r="865">
      <c r="T865" s="262"/>
      <c r="U865" s="262"/>
    </row>
    <row r="866">
      <c r="T866" s="262"/>
      <c r="U866" s="262"/>
    </row>
    <row r="867">
      <c r="T867" s="262"/>
      <c r="U867" s="262"/>
    </row>
    <row r="868">
      <c r="T868" s="262"/>
      <c r="U868" s="262"/>
    </row>
    <row r="869">
      <c r="T869" s="262"/>
      <c r="U869" s="262"/>
    </row>
    <row r="870">
      <c r="T870" s="262"/>
      <c r="U870" s="262"/>
    </row>
    <row r="871">
      <c r="T871" s="262"/>
      <c r="U871" s="262"/>
    </row>
    <row r="872">
      <c r="T872" s="262"/>
      <c r="U872" s="262"/>
    </row>
    <row r="873">
      <c r="T873" s="262"/>
      <c r="U873" s="262"/>
    </row>
    <row r="874">
      <c r="T874" s="262"/>
      <c r="U874" s="262"/>
    </row>
    <row r="875">
      <c r="T875" s="262"/>
      <c r="U875" s="262"/>
    </row>
    <row r="876">
      <c r="T876" s="262"/>
      <c r="U876" s="262"/>
    </row>
    <row r="877">
      <c r="T877" s="262"/>
      <c r="U877" s="262"/>
    </row>
    <row r="878">
      <c r="T878" s="262"/>
      <c r="U878" s="262"/>
    </row>
    <row r="879">
      <c r="T879" s="262"/>
      <c r="U879" s="262"/>
    </row>
    <row r="880">
      <c r="T880" s="262"/>
      <c r="U880" s="262"/>
    </row>
    <row r="881">
      <c r="T881" s="262"/>
      <c r="U881" s="262"/>
    </row>
    <row r="882">
      <c r="T882" s="262"/>
      <c r="U882" s="262"/>
    </row>
    <row r="883">
      <c r="T883" s="262"/>
      <c r="U883" s="262"/>
    </row>
    <row r="884">
      <c r="T884" s="262"/>
      <c r="U884" s="262"/>
    </row>
    <row r="885">
      <c r="T885" s="262"/>
      <c r="U885" s="262"/>
    </row>
    <row r="886">
      <c r="T886" s="262"/>
      <c r="U886" s="262"/>
    </row>
    <row r="887">
      <c r="T887" s="262"/>
      <c r="U887" s="262"/>
    </row>
    <row r="888">
      <c r="T888" s="262"/>
      <c r="U888" s="262"/>
    </row>
    <row r="889">
      <c r="T889" s="262"/>
      <c r="U889" s="262"/>
    </row>
    <row r="890">
      <c r="T890" s="262"/>
      <c r="U890" s="262"/>
    </row>
    <row r="891">
      <c r="T891" s="262"/>
      <c r="U891" s="262"/>
    </row>
    <row r="892">
      <c r="T892" s="262"/>
      <c r="U892" s="262"/>
    </row>
    <row r="893">
      <c r="T893" s="262"/>
      <c r="U893" s="262"/>
    </row>
    <row r="894">
      <c r="T894" s="262"/>
      <c r="U894" s="262"/>
    </row>
    <row r="895">
      <c r="T895" s="262"/>
      <c r="U895" s="262"/>
    </row>
    <row r="896">
      <c r="T896" s="262"/>
      <c r="U896" s="262"/>
    </row>
    <row r="897">
      <c r="T897" s="262"/>
      <c r="U897" s="262"/>
    </row>
    <row r="898">
      <c r="T898" s="262"/>
      <c r="U898" s="262"/>
    </row>
    <row r="899">
      <c r="T899" s="262"/>
      <c r="U899" s="262"/>
    </row>
    <row r="900">
      <c r="T900" s="262"/>
      <c r="U900" s="262"/>
    </row>
    <row r="901">
      <c r="T901" s="262"/>
      <c r="U901" s="262"/>
    </row>
    <row r="902">
      <c r="T902" s="262"/>
      <c r="U902" s="262"/>
    </row>
    <row r="903">
      <c r="T903" s="262"/>
      <c r="U903" s="262"/>
    </row>
    <row r="904">
      <c r="T904" s="262"/>
      <c r="U904" s="262"/>
    </row>
    <row r="905">
      <c r="T905" s="262"/>
      <c r="U905" s="262"/>
    </row>
    <row r="906">
      <c r="T906" s="262"/>
      <c r="U906" s="262"/>
    </row>
    <row r="907">
      <c r="T907" s="262"/>
      <c r="U907" s="262"/>
    </row>
    <row r="908">
      <c r="T908" s="262"/>
      <c r="U908" s="262"/>
    </row>
    <row r="909">
      <c r="T909" s="262"/>
      <c r="U909" s="262"/>
    </row>
    <row r="910">
      <c r="T910" s="262"/>
      <c r="U910" s="262"/>
    </row>
    <row r="911">
      <c r="T911" s="262"/>
      <c r="U911" s="262"/>
    </row>
    <row r="912">
      <c r="T912" s="262"/>
      <c r="U912" s="262"/>
    </row>
    <row r="913">
      <c r="T913" s="262"/>
      <c r="U913" s="262"/>
    </row>
    <row r="914">
      <c r="T914" s="262"/>
      <c r="U914" s="262"/>
    </row>
    <row r="915">
      <c r="T915" s="262"/>
      <c r="U915" s="262"/>
    </row>
    <row r="916">
      <c r="T916" s="262"/>
      <c r="U916" s="262"/>
    </row>
    <row r="917">
      <c r="T917" s="262"/>
      <c r="U917" s="262"/>
    </row>
    <row r="918">
      <c r="T918" s="262"/>
      <c r="U918" s="262"/>
    </row>
    <row r="919">
      <c r="T919" s="262"/>
      <c r="U919" s="262"/>
    </row>
    <row r="920">
      <c r="T920" s="262"/>
      <c r="U920" s="262"/>
    </row>
    <row r="921">
      <c r="T921" s="262"/>
      <c r="U921" s="262"/>
    </row>
    <row r="922">
      <c r="T922" s="262"/>
      <c r="U922" s="262"/>
    </row>
    <row r="923">
      <c r="T923" s="262"/>
      <c r="U923" s="262"/>
    </row>
    <row r="924">
      <c r="T924" s="262"/>
      <c r="U924" s="262"/>
    </row>
    <row r="925">
      <c r="T925" s="262"/>
      <c r="U925" s="262"/>
    </row>
    <row r="926">
      <c r="T926" s="262"/>
      <c r="U926" s="262"/>
    </row>
    <row r="927">
      <c r="T927" s="262"/>
      <c r="U927" s="262"/>
    </row>
    <row r="928">
      <c r="T928" s="262"/>
      <c r="U928" s="262"/>
    </row>
    <row r="929">
      <c r="T929" s="262"/>
      <c r="U929" s="262"/>
    </row>
    <row r="930">
      <c r="T930" s="262"/>
      <c r="U930" s="262"/>
    </row>
    <row r="931">
      <c r="T931" s="262"/>
      <c r="U931" s="262"/>
    </row>
    <row r="932">
      <c r="T932" s="262"/>
      <c r="U932" s="262"/>
    </row>
    <row r="933">
      <c r="T933" s="262"/>
      <c r="U933" s="262"/>
    </row>
    <row r="934">
      <c r="T934" s="262"/>
      <c r="U934" s="262"/>
    </row>
    <row r="935">
      <c r="T935" s="262"/>
      <c r="U935" s="262"/>
    </row>
    <row r="936">
      <c r="T936" s="262"/>
      <c r="U936" s="262"/>
    </row>
    <row r="937">
      <c r="T937" s="262"/>
      <c r="U937" s="262"/>
    </row>
    <row r="938">
      <c r="T938" s="262"/>
      <c r="U938" s="262"/>
    </row>
    <row r="939">
      <c r="T939" s="262"/>
      <c r="U939" s="262"/>
    </row>
    <row r="940">
      <c r="T940" s="262"/>
      <c r="U940" s="262"/>
    </row>
    <row r="941">
      <c r="T941" s="262"/>
      <c r="U941" s="262"/>
    </row>
    <row r="942">
      <c r="T942" s="262"/>
      <c r="U942" s="262"/>
    </row>
    <row r="943">
      <c r="T943" s="262"/>
      <c r="U943" s="262"/>
    </row>
    <row r="944">
      <c r="T944" s="262"/>
      <c r="U944" s="262"/>
    </row>
    <row r="945">
      <c r="T945" s="262"/>
      <c r="U945" s="262"/>
    </row>
    <row r="946">
      <c r="T946" s="262"/>
      <c r="U946" s="262"/>
    </row>
    <row r="947">
      <c r="T947" s="262"/>
      <c r="U947" s="262"/>
    </row>
    <row r="948">
      <c r="T948" s="262"/>
      <c r="U948" s="262"/>
    </row>
    <row r="949">
      <c r="T949" s="262"/>
      <c r="U949" s="262"/>
    </row>
    <row r="950">
      <c r="T950" s="262"/>
      <c r="U950" s="262"/>
    </row>
    <row r="951">
      <c r="T951" s="262"/>
      <c r="U951" s="262"/>
    </row>
    <row r="952">
      <c r="T952" s="262"/>
      <c r="U952" s="262"/>
    </row>
    <row r="953">
      <c r="T953" s="262"/>
      <c r="U953" s="262"/>
    </row>
    <row r="954">
      <c r="T954" s="262"/>
      <c r="U954" s="262"/>
    </row>
    <row r="955">
      <c r="T955" s="262"/>
      <c r="U955" s="262"/>
    </row>
    <row r="956">
      <c r="T956" s="262"/>
      <c r="U956" s="262"/>
    </row>
    <row r="957">
      <c r="T957" s="262"/>
      <c r="U957" s="262"/>
    </row>
    <row r="958">
      <c r="T958" s="262"/>
      <c r="U958" s="262"/>
    </row>
    <row r="959">
      <c r="T959" s="262"/>
      <c r="U959" s="262"/>
    </row>
    <row r="960">
      <c r="T960" s="262"/>
      <c r="U960" s="262"/>
    </row>
    <row r="961">
      <c r="T961" s="262"/>
      <c r="U961" s="262"/>
    </row>
    <row r="962">
      <c r="T962" s="262"/>
      <c r="U962" s="262"/>
    </row>
    <row r="963">
      <c r="T963" s="262"/>
      <c r="U963" s="262"/>
    </row>
    <row r="964">
      <c r="T964" s="262"/>
      <c r="U964" s="262"/>
    </row>
    <row r="965">
      <c r="T965" s="262"/>
      <c r="U965" s="262"/>
    </row>
    <row r="966">
      <c r="T966" s="262"/>
      <c r="U966" s="262"/>
    </row>
    <row r="967">
      <c r="T967" s="262"/>
      <c r="U967" s="262"/>
    </row>
    <row r="968">
      <c r="T968" s="262"/>
      <c r="U968" s="262"/>
    </row>
    <row r="969">
      <c r="T969" s="262"/>
      <c r="U969" s="262"/>
    </row>
    <row r="970">
      <c r="T970" s="262"/>
      <c r="U970" s="262"/>
    </row>
    <row r="971">
      <c r="T971" s="262"/>
      <c r="U971" s="262"/>
    </row>
    <row r="972">
      <c r="T972" s="262"/>
      <c r="U972" s="262"/>
    </row>
    <row r="973">
      <c r="T973" s="262"/>
      <c r="U973" s="262"/>
    </row>
    <row r="974">
      <c r="T974" s="262"/>
      <c r="U974" s="262"/>
    </row>
    <row r="975">
      <c r="T975" s="262"/>
      <c r="U975" s="262"/>
    </row>
    <row r="976">
      <c r="T976" s="262"/>
      <c r="U976" s="262"/>
    </row>
    <row r="977">
      <c r="T977" s="262"/>
      <c r="U977" s="262"/>
    </row>
    <row r="978">
      <c r="T978" s="262"/>
      <c r="U978" s="262"/>
    </row>
    <row r="979">
      <c r="T979" s="262"/>
      <c r="U979" s="262"/>
    </row>
    <row r="980">
      <c r="T980" s="262"/>
      <c r="U980" s="262"/>
    </row>
    <row r="981">
      <c r="T981" s="262"/>
      <c r="U981" s="262"/>
    </row>
    <row r="982">
      <c r="T982" s="262"/>
      <c r="U982" s="262"/>
    </row>
    <row r="983">
      <c r="T983" s="262"/>
      <c r="U983" s="262"/>
    </row>
    <row r="984">
      <c r="T984" s="262"/>
      <c r="U984" s="262"/>
    </row>
    <row r="985">
      <c r="T985" s="262"/>
      <c r="U985" s="262"/>
    </row>
    <row r="986">
      <c r="T986" s="262"/>
      <c r="U986" s="262"/>
    </row>
    <row r="987">
      <c r="T987" s="262"/>
      <c r="U987" s="262"/>
    </row>
    <row r="988">
      <c r="T988" s="262"/>
      <c r="U988" s="262"/>
    </row>
    <row r="989">
      <c r="T989" s="262"/>
      <c r="U989" s="262"/>
    </row>
    <row r="990">
      <c r="T990" s="262"/>
      <c r="U990" s="262"/>
    </row>
    <row r="991">
      <c r="T991" s="262"/>
      <c r="U991" s="262"/>
    </row>
    <row r="992">
      <c r="T992" s="262"/>
      <c r="U992" s="262"/>
    </row>
    <row r="993">
      <c r="T993" s="262"/>
      <c r="U993" s="262"/>
    </row>
    <row r="994">
      <c r="T994" s="262"/>
      <c r="U994" s="262"/>
    </row>
    <row r="995">
      <c r="T995" s="262"/>
      <c r="U995" s="262"/>
    </row>
    <row r="996">
      <c r="T996" s="262"/>
      <c r="U996" s="262"/>
    </row>
    <row r="997">
      <c r="T997" s="262"/>
      <c r="U997" s="262"/>
    </row>
    <row r="998">
      <c r="T998" s="262"/>
      <c r="U998" s="262"/>
    </row>
    <row r="999">
      <c r="T999" s="262"/>
      <c r="U999" s="262"/>
    </row>
    <row r="1000">
      <c r="T1000" s="262"/>
      <c r="U1000" s="262"/>
    </row>
  </sheetData>
  <mergeCells count="144">
    <mergeCell ref="D64:E64"/>
    <mergeCell ref="F65:G65"/>
    <mergeCell ref="D65:E65"/>
    <mergeCell ref="F64:G64"/>
    <mergeCell ref="D68:E68"/>
    <mergeCell ref="F68:G68"/>
    <mergeCell ref="D69:E69"/>
    <mergeCell ref="D70:E70"/>
    <mergeCell ref="D63:E63"/>
    <mergeCell ref="D67:E67"/>
    <mergeCell ref="D66:E66"/>
    <mergeCell ref="F67:G67"/>
    <mergeCell ref="F66:G66"/>
    <mergeCell ref="D72:E72"/>
    <mergeCell ref="F72:G72"/>
    <mergeCell ref="F61:G61"/>
    <mergeCell ref="D62:E62"/>
    <mergeCell ref="F62:G62"/>
    <mergeCell ref="F63:G63"/>
    <mergeCell ref="F70:G70"/>
    <mergeCell ref="F69:G69"/>
    <mergeCell ref="AM69:AN69"/>
    <mergeCell ref="AM68:AN68"/>
    <mergeCell ref="AM72:AN72"/>
    <mergeCell ref="AM70:AN70"/>
    <mergeCell ref="AM65:AN65"/>
    <mergeCell ref="AM64:AN64"/>
    <mergeCell ref="AM73:AN73"/>
    <mergeCell ref="AM63:AN63"/>
    <mergeCell ref="AM66:AN66"/>
    <mergeCell ref="AM59:AN59"/>
    <mergeCell ref="AM58:AN58"/>
    <mergeCell ref="AM62:AN62"/>
    <mergeCell ref="AM67:AN67"/>
    <mergeCell ref="AK63:AL63"/>
    <mergeCell ref="AK64:AL64"/>
    <mergeCell ref="AK70:AL70"/>
    <mergeCell ref="AK66:AL66"/>
    <mergeCell ref="AK67:AL67"/>
    <mergeCell ref="AK73:AL73"/>
    <mergeCell ref="AK72:AL72"/>
    <mergeCell ref="AK59:AL59"/>
    <mergeCell ref="AK60:AL60"/>
    <mergeCell ref="AK61:AL61"/>
    <mergeCell ref="AK62:AL62"/>
    <mergeCell ref="AK71:AL71"/>
    <mergeCell ref="AK65:AL65"/>
    <mergeCell ref="AI69:AJ69"/>
    <mergeCell ref="AI66:AJ66"/>
    <mergeCell ref="AI68:AJ68"/>
    <mergeCell ref="AI67:AJ67"/>
    <mergeCell ref="AI62:AJ62"/>
    <mergeCell ref="AI65:AJ65"/>
    <mergeCell ref="AI73:AJ73"/>
    <mergeCell ref="AI72:AJ72"/>
    <mergeCell ref="AI59:AJ59"/>
    <mergeCell ref="AI61:AJ61"/>
    <mergeCell ref="AI60:AJ60"/>
    <mergeCell ref="AI70:AJ70"/>
    <mergeCell ref="AI71:AJ71"/>
    <mergeCell ref="AG61:AH61"/>
    <mergeCell ref="AG67:AH67"/>
    <mergeCell ref="AG62:AH62"/>
    <mergeCell ref="AE73:AF73"/>
    <mergeCell ref="AE63:AF63"/>
    <mergeCell ref="AE62:AF62"/>
    <mergeCell ref="AE59:AF59"/>
    <mergeCell ref="AG60:AH60"/>
    <mergeCell ref="AE72:AF72"/>
    <mergeCell ref="AG59:AH59"/>
    <mergeCell ref="AE67:AF67"/>
    <mergeCell ref="AE61:AF61"/>
    <mergeCell ref="AE60:AF60"/>
    <mergeCell ref="AC60:AD60"/>
    <mergeCell ref="AC61:AD61"/>
    <mergeCell ref="AC59:AD59"/>
    <mergeCell ref="AC73:AD73"/>
    <mergeCell ref="AC69:AD69"/>
    <mergeCell ref="AC72:AD72"/>
    <mergeCell ref="AC70:AD70"/>
    <mergeCell ref="AC68:AD68"/>
    <mergeCell ref="AC67:AD67"/>
    <mergeCell ref="AG69:AH69"/>
    <mergeCell ref="AE69:AF69"/>
    <mergeCell ref="AG63:AH63"/>
    <mergeCell ref="AG66:AH66"/>
    <mergeCell ref="AG65:AH65"/>
    <mergeCell ref="AG64:AH64"/>
    <mergeCell ref="AE64:AF64"/>
    <mergeCell ref="AE65:AF65"/>
    <mergeCell ref="AC65:AD65"/>
    <mergeCell ref="AC63:AD63"/>
    <mergeCell ref="AC64:AD64"/>
    <mergeCell ref="AC62:AD62"/>
    <mergeCell ref="AG68:AH68"/>
    <mergeCell ref="AG70:AH70"/>
    <mergeCell ref="AE70:AF70"/>
    <mergeCell ref="AE68:AF68"/>
    <mergeCell ref="H68:I68"/>
    <mergeCell ref="H69:I69"/>
    <mergeCell ref="H61:I61"/>
    <mergeCell ref="H65:I65"/>
    <mergeCell ref="H64:I64"/>
    <mergeCell ref="H63:I63"/>
    <mergeCell ref="H62:I62"/>
    <mergeCell ref="H72:I72"/>
    <mergeCell ref="H71:I71"/>
    <mergeCell ref="H57:I57"/>
    <mergeCell ref="H60:I60"/>
    <mergeCell ref="H58:I58"/>
    <mergeCell ref="H59:I59"/>
    <mergeCell ref="H70:I70"/>
    <mergeCell ref="AG72:AH72"/>
    <mergeCell ref="AG71:AH71"/>
    <mergeCell ref="F71:G71"/>
    <mergeCell ref="D71:E71"/>
    <mergeCell ref="AG73:AH73"/>
    <mergeCell ref="AM71:AN71"/>
    <mergeCell ref="AE71:AF71"/>
    <mergeCell ref="AC71:AD71"/>
    <mergeCell ref="F59:G59"/>
    <mergeCell ref="F58:G58"/>
    <mergeCell ref="D61:E61"/>
    <mergeCell ref="D57:E57"/>
    <mergeCell ref="D58:E58"/>
    <mergeCell ref="F57:G57"/>
    <mergeCell ref="F60:G60"/>
    <mergeCell ref="D60:E60"/>
    <mergeCell ref="D59:E59"/>
    <mergeCell ref="AM60:AN60"/>
    <mergeCell ref="AM61:AN61"/>
    <mergeCell ref="AC58:AD58"/>
    <mergeCell ref="AE58:AF58"/>
    <mergeCell ref="AG58:AH58"/>
    <mergeCell ref="AK58:AL58"/>
    <mergeCell ref="AI58:AJ58"/>
    <mergeCell ref="AK69:AL69"/>
    <mergeCell ref="AK68:AL68"/>
    <mergeCell ref="AI64:AJ64"/>
    <mergeCell ref="AI63:AJ63"/>
    <mergeCell ref="AC66:AD66"/>
    <mergeCell ref="AE66:AF66"/>
    <mergeCell ref="H67:I67"/>
    <mergeCell ref="H66:I66"/>
  </mergeCells>
  <dataValidations>
    <dataValidation type="list" allowBlank="1" sqref="BH2:BH55 BO2:BO55">
      <formula1>"Range,Melee,-"</formula1>
    </dataValidation>
    <dataValidation type="list" allowBlank="1" sqref="Y2:Y55 AA2:AA55 AR2:AR55 AV2:AV55 AX2:AX55 AZ2:BA55 BC2:BD55 BJ2:BK55">
      <formula1>'Stat Modification'!$B$3:$B</formula1>
    </dataValidation>
  </dataValidations>
  <drawing r:id="rId2"/>
  <legacyDrawing r:id="rId3"/>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3.14"/>
    <col customWidth="1" min="3" max="3" width="3.71"/>
    <col customWidth="1" min="11" max="11" width="3.71"/>
    <col customWidth="1" min="18" max="18" width="3.71"/>
    <col customWidth="1" min="24" max="24" width="3.71"/>
    <col customWidth="1" min="25" max="25" width="15.86"/>
    <col customWidth="1" min="27" max="27" width="3.71"/>
    <col customWidth="1" min="28" max="28" width="21.57"/>
    <col customWidth="1" min="30" max="30" width="28.71"/>
    <col customWidth="1" min="31" max="31" width="14.43"/>
    <col customWidth="1" min="32" max="32" width="3.71"/>
    <col customWidth="1" min="33" max="33" width="18.0"/>
    <col customWidth="1" min="34" max="45" width="4.43"/>
    <col customWidth="1" min="49" max="49" width="3.14"/>
  </cols>
  <sheetData>
    <row r="1">
      <c r="A1" s="1"/>
      <c r="B1" s="2" t="s">
        <v>7</v>
      </c>
      <c r="C1" s="289"/>
      <c r="D1" s="2" t="s">
        <v>318</v>
      </c>
      <c r="K1" s="289"/>
      <c r="L1" s="2" t="s">
        <v>279</v>
      </c>
      <c r="R1" s="289"/>
      <c r="S1" s="290" t="s">
        <v>319</v>
      </c>
      <c r="X1" s="2"/>
      <c r="Y1" s="2" t="s">
        <v>320</v>
      </c>
      <c r="AA1" s="289"/>
      <c r="AB1" s="2" t="s">
        <v>321</v>
      </c>
      <c r="AF1" s="289"/>
      <c r="AG1" s="2" t="s">
        <v>322</v>
      </c>
      <c r="AW1" s="1"/>
    </row>
    <row r="2">
      <c r="A2" s="1"/>
      <c r="B2" s="4" t="s">
        <v>323</v>
      </c>
      <c r="C2" s="291"/>
      <c r="D2" s="3" t="s">
        <v>324</v>
      </c>
      <c r="E2" s="3" t="s">
        <v>325</v>
      </c>
      <c r="F2" s="3" t="s">
        <v>326</v>
      </c>
      <c r="G2" s="3" t="s">
        <v>327</v>
      </c>
      <c r="H2" s="3" t="s">
        <v>328</v>
      </c>
      <c r="I2" s="3" t="s">
        <v>329</v>
      </c>
      <c r="J2" s="3" t="s">
        <v>330</v>
      </c>
      <c r="K2" s="292"/>
      <c r="L2" s="4" t="s">
        <v>279</v>
      </c>
      <c r="N2" s="4" t="s">
        <v>331</v>
      </c>
      <c r="O2" s="4" t="s">
        <v>332</v>
      </c>
      <c r="P2" s="4" t="s">
        <v>8</v>
      </c>
      <c r="Q2" s="4" t="s">
        <v>333</v>
      </c>
      <c r="R2" s="292"/>
      <c r="S2" s="293" t="s">
        <v>334</v>
      </c>
      <c r="T2" s="293" t="s">
        <v>335</v>
      </c>
      <c r="U2" s="293" t="s">
        <v>97</v>
      </c>
      <c r="V2" s="293" t="s">
        <v>149</v>
      </c>
      <c r="W2" s="293" t="s">
        <v>98</v>
      </c>
      <c r="X2" s="291"/>
      <c r="Y2" s="3" t="s">
        <v>320</v>
      </c>
      <c r="Z2" s="3" t="s">
        <v>336</v>
      </c>
      <c r="AA2" s="291"/>
      <c r="AB2" s="3" t="s">
        <v>337</v>
      </c>
      <c r="AC2" s="3" t="s">
        <v>19</v>
      </c>
      <c r="AD2" s="3" t="s">
        <v>330</v>
      </c>
      <c r="AE2" s="4" t="s">
        <v>9</v>
      </c>
      <c r="AF2" s="292"/>
      <c r="AG2" s="4" t="s">
        <v>76</v>
      </c>
      <c r="AH2" s="3" t="s">
        <v>56</v>
      </c>
      <c r="AI2" s="3" t="s">
        <v>57</v>
      </c>
      <c r="AJ2" s="3" t="s">
        <v>58</v>
      </c>
      <c r="AK2" s="3" t="s">
        <v>59</v>
      </c>
      <c r="AL2" s="3" t="s">
        <v>60</v>
      </c>
      <c r="AM2" s="3" t="s">
        <v>61</v>
      </c>
      <c r="AN2" s="3" t="s">
        <v>62</v>
      </c>
      <c r="AO2" s="3" t="s">
        <v>63</v>
      </c>
      <c r="AP2" s="3" t="s">
        <v>64</v>
      </c>
      <c r="AQ2" s="3" t="s">
        <v>65</v>
      </c>
      <c r="AR2" s="4" t="s">
        <v>66</v>
      </c>
      <c r="AS2" s="4" t="s">
        <v>67</v>
      </c>
      <c r="AT2" s="4" t="str">
        <f>VLOOKUP('Character Sheet'!F7,AG3:AV100,14,FALSE)</f>
        <v/>
      </c>
      <c r="AU2" s="4" t="str">
        <f>VLOOKUP('Character Sheet'!F7,AG3:AV100,15,FALSE)</f>
        <v/>
      </c>
      <c r="AV2" s="4" t="str">
        <f>VLOOKUP('Character Sheet'!F7,AG3:AV100,16,FALSE)</f>
        <v/>
      </c>
      <c r="AW2" s="37" t="s">
        <v>75</v>
      </c>
    </row>
    <row r="3">
      <c r="A3" s="1"/>
      <c r="B3" s="296" t="s">
        <v>26</v>
      </c>
      <c r="C3" s="50"/>
      <c r="D3" s="296" t="s">
        <v>341</v>
      </c>
      <c r="E3" s="297"/>
      <c r="F3" s="297"/>
      <c r="G3" s="297"/>
      <c r="H3" s="297"/>
      <c r="I3" s="297"/>
      <c r="J3" s="297"/>
      <c r="K3" s="1"/>
      <c r="L3" s="296" t="s">
        <v>342</v>
      </c>
      <c r="N3" s="296" t="s">
        <v>343</v>
      </c>
      <c r="O3" s="296" t="s">
        <v>344</v>
      </c>
      <c r="P3" s="296" t="s">
        <v>200</v>
      </c>
      <c r="Q3" s="296"/>
      <c r="R3" s="1"/>
      <c r="S3" s="298" t="s">
        <v>345</v>
      </c>
      <c r="T3" s="298" t="s">
        <v>346</v>
      </c>
      <c r="U3" s="298" t="s">
        <v>347</v>
      </c>
      <c r="V3" s="298" t="s">
        <v>347</v>
      </c>
      <c r="W3" s="298" t="s">
        <v>348</v>
      </c>
      <c r="X3" s="1"/>
      <c r="Y3" s="296" t="s">
        <v>349</v>
      </c>
      <c r="Z3" s="296">
        <v>-2.0</v>
      </c>
      <c r="AA3" s="1"/>
      <c r="AB3" s="299" t="s">
        <v>350</v>
      </c>
      <c r="AC3" s="297"/>
      <c r="AD3" s="300"/>
      <c r="AE3" s="301"/>
      <c r="AF3" s="1"/>
      <c r="AG3" s="302" t="s">
        <v>77</v>
      </c>
      <c r="AH3" s="296"/>
      <c r="AI3" s="296"/>
      <c r="AJ3" s="296"/>
      <c r="AK3" s="296"/>
      <c r="AL3" s="296"/>
      <c r="AM3" s="296"/>
      <c r="AN3" s="296"/>
      <c r="AO3" s="296"/>
      <c r="AP3" s="296"/>
      <c r="AQ3" s="296"/>
      <c r="AR3" s="296"/>
      <c r="AS3" s="296"/>
      <c r="AT3" s="296"/>
      <c r="AU3" s="296"/>
      <c r="AV3" s="296"/>
      <c r="AW3" s="50"/>
    </row>
    <row r="4">
      <c r="A4" s="1"/>
      <c r="B4" s="296" t="s">
        <v>199</v>
      </c>
      <c r="C4" s="50"/>
      <c r="D4" s="296" t="s">
        <v>351</v>
      </c>
      <c r="E4" s="296" t="s">
        <v>352</v>
      </c>
      <c r="F4" s="296" t="s">
        <v>59</v>
      </c>
      <c r="G4" s="296" t="s">
        <v>353</v>
      </c>
      <c r="H4" s="296" t="s">
        <v>354</v>
      </c>
      <c r="I4" s="296" t="s">
        <v>355</v>
      </c>
      <c r="J4" s="296" t="s">
        <v>356</v>
      </c>
      <c r="K4" s="1"/>
      <c r="L4" s="296" t="s">
        <v>214</v>
      </c>
      <c r="N4" s="296" t="s">
        <v>357</v>
      </c>
      <c r="O4" s="296" t="s">
        <v>358</v>
      </c>
      <c r="P4" s="296" t="s">
        <v>214</v>
      </c>
      <c r="Q4" s="296"/>
      <c r="R4" s="1"/>
      <c r="S4" s="298" t="s">
        <v>359</v>
      </c>
      <c r="T4" s="298" t="s">
        <v>360</v>
      </c>
      <c r="U4" s="298" t="s">
        <v>361</v>
      </c>
      <c r="V4" s="298" t="s">
        <v>361</v>
      </c>
      <c r="W4" s="298" t="s">
        <v>362</v>
      </c>
      <c r="X4" s="1"/>
      <c r="Y4" s="296" t="s">
        <v>363</v>
      </c>
      <c r="Z4" s="296">
        <v>-1.0</v>
      </c>
      <c r="AA4" s="1"/>
      <c r="AB4" s="297" t="s">
        <v>364</v>
      </c>
      <c r="AC4" s="297" t="s">
        <v>365</v>
      </c>
      <c r="AD4" s="300" t="s">
        <v>366</v>
      </c>
      <c r="AE4" s="301">
        <v>-2.0</v>
      </c>
      <c r="AF4" s="1"/>
      <c r="AG4" s="296" t="s">
        <v>367</v>
      </c>
      <c r="AH4" s="297"/>
      <c r="AI4" s="297"/>
      <c r="AJ4" s="296">
        <v>1.0</v>
      </c>
      <c r="AK4" s="297"/>
      <c r="AL4" s="297"/>
      <c r="AM4" s="296">
        <v>-1.0</v>
      </c>
      <c r="AN4" s="297"/>
      <c r="AO4" s="297"/>
      <c r="AP4" s="297"/>
      <c r="AQ4" s="297"/>
      <c r="AT4" s="296" t="s">
        <v>368</v>
      </c>
      <c r="AU4" s="296" t="s">
        <v>369</v>
      </c>
      <c r="AV4" s="296" t="s">
        <v>370</v>
      </c>
      <c r="AW4" s="50"/>
    </row>
    <row r="5">
      <c r="A5" s="1"/>
      <c r="B5" s="296" t="s">
        <v>371</v>
      </c>
      <c r="C5" s="50"/>
      <c r="D5" s="296" t="s">
        <v>372</v>
      </c>
      <c r="E5" s="296" t="s">
        <v>373</v>
      </c>
      <c r="F5" s="296" t="s">
        <v>61</v>
      </c>
      <c r="G5" s="296" t="s">
        <v>353</v>
      </c>
      <c r="H5" s="296" t="s">
        <v>374</v>
      </c>
      <c r="I5" s="296" t="s">
        <v>375</v>
      </c>
      <c r="J5" s="296" t="s">
        <v>376</v>
      </c>
      <c r="K5" s="1"/>
      <c r="L5" s="296" t="s">
        <v>377</v>
      </c>
      <c r="N5" s="296" t="s">
        <v>26</v>
      </c>
      <c r="O5" s="296" t="s">
        <v>378</v>
      </c>
      <c r="P5" s="296" t="s">
        <v>26</v>
      </c>
      <c r="Q5" s="296"/>
      <c r="R5" s="1"/>
      <c r="S5" s="298" t="s">
        <v>379</v>
      </c>
      <c r="T5" s="298" t="s">
        <v>380</v>
      </c>
      <c r="U5" s="298" t="s">
        <v>381</v>
      </c>
      <c r="V5" s="298" t="s">
        <v>381</v>
      </c>
      <c r="W5" s="298" t="s">
        <v>382</v>
      </c>
      <c r="X5" s="1"/>
      <c r="Y5" s="296" t="s">
        <v>24</v>
      </c>
      <c r="Z5" s="296">
        <v>0.0</v>
      </c>
      <c r="AA5" s="1"/>
      <c r="AB5" s="297" t="s">
        <v>383</v>
      </c>
      <c r="AC5" s="297" t="s">
        <v>365</v>
      </c>
      <c r="AD5" s="300" t="s">
        <v>384</v>
      </c>
      <c r="AE5" s="301">
        <v>-2.0</v>
      </c>
      <c r="AF5" s="1"/>
      <c r="AG5" s="296" t="s">
        <v>385</v>
      </c>
      <c r="AH5" s="297"/>
      <c r="AI5" s="296">
        <v>-1.0</v>
      </c>
      <c r="AJ5" s="296">
        <v>1.0</v>
      </c>
      <c r="AK5" s="297"/>
      <c r="AL5" s="297"/>
      <c r="AM5" s="297"/>
      <c r="AN5" s="297"/>
      <c r="AO5" s="297"/>
      <c r="AP5" s="297"/>
      <c r="AQ5" s="297"/>
      <c r="AT5" s="296" t="s">
        <v>386</v>
      </c>
      <c r="AU5" s="296" t="s">
        <v>387</v>
      </c>
      <c r="AV5" s="296" t="s">
        <v>388</v>
      </c>
      <c r="AW5" s="50"/>
    </row>
    <row r="6">
      <c r="A6" s="1"/>
      <c r="B6" s="296" t="s">
        <v>389</v>
      </c>
      <c r="C6" s="50"/>
      <c r="D6" s="296" t="s">
        <v>390</v>
      </c>
      <c r="E6" s="296" t="s">
        <v>373</v>
      </c>
      <c r="F6" s="296" t="s">
        <v>58</v>
      </c>
      <c r="G6" s="296" t="s">
        <v>353</v>
      </c>
      <c r="H6" s="296" t="s">
        <v>354</v>
      </c>
      <c r="I6" s="296" t="s">
        <v>391</v>
      </c>
      <c r="J6" s="296" t="s">
        <v>392</v>
      </c>
      <c r="K6" s="1"/>
      <c r="L6" s="296" t="s">
        <v>393</v>
      </c>
      <c r="N6" s="296" t="s">
        <v>26</v>
      </c>
      <c r="O6" s="296" t="s">
        <v>26</v>
      </c>
      <c r="P6" s="296" t="s">
        <v>26</v>
      </c>
      <c r="Q6" s="296" t="s">
        <v>394</v>
      </c>
      <c r="R6" s="1"/>
      <c r="S6" s="298" t="s">
        <v>395</v>
      </c>
      <c r="T6" s="298" t="s">
        <v>396</v>
      </c>
      <c r="U6" s="305"/>
      <c r="V6" s="298" t="s">
        <v>397</v>
      </c>
      <c r="W6" s="298" t="s">
        <v>398</v>
      </c>
      <c r="X6" s="1"/>
      <c r="Y6" s="296" t="s">
        <v>399</v>
      </c>
      <c r="Z6" s="296">
        <v>1.0</v>
      </c>
      <c r="AA6" s="1"/>
      <c r="AB6" s="297" t="s">
        <v>400</v>
      </c>
      <c r="AC6" s="297" t="s">
        <v>401</v>
      </c>
      <c r="AD6" s="300" t="s">
        <v>402</v>
      </c>
      <c r="AE6" s="301">
        <v>-1.0</v>
      </c>
      <c r="AF6" s="1"/>
      <c r="AG6" s="296" t="s">
        <v>403</v>
      </c>
      <c r="AH6" s="296">
        <v>-1.0</v>
      </c>
      <c r="AI6" s="296">
        <v>1.0</v>
      </c>
      <c r="AJ6" s="297"/>
      <c r="AK6" s="297"/>
      <c r="AL6" s="297"/>
      <c r="AM6" s="297"/>
      <c r="AN6" s="297"/>
      <c r="AO6" s="297"/>
      <c r="AP6" s="297"/>
      <c r="AQ6" s="297"/>
      <c r="AT6" s="296" t="s">
        <v>153</v>
      </c>
      <c r="AU6" s="296" t="s">
        <v>404</v>
      </c>
      <c r="AV6" s="296" t="s">
        <v>405</v>
      </c>
      <c r="AW6" s="50"/>
    </row>
    <row r="7">
      <c r="A7" s="1"/>
      <c r="B7" s="296" t="s">
        <v>406</v>
      </c>
      <c r="C7" s="50"/>
      <c r="D7" s="296" t="s">
        <v>407</v>
      </c>
      <c r="E7" s="296" t="s">
        <v>408</v>
      </c>
      <c r="F7" s="296" t="s">
        <v>58</v>
      </c>
      <c r="G7" s="296" t="s">
        <v>353</v>
      </c>
      <c r="H7" s="296" t="s">
        <v>374</v>
      </c>
      <c r="I7" s="296" t="s">
        <v>409</v>
      </c>
      <c r="J7" s="296" t="s">
        <v>392</v>
      </c>
      <c r="K7" s="1"/>
      <c r="L7" s="296" t="s">
        <v>410</v>
      </c>
      <c r="N7" s="296" t="s">
        <v>411</v>
      </c>
      <c r="O7" s="296" t="s">
        <v>412</v>
      </c>
      <c r="P7" s="296" t="s">
        <v>26</v>
      </c>
      <c r="Q7" s="296"/>
      <c r="R7" s="1"/>
      <c r="S7" s="298" t="s">
        <v>413</v>
      </c>
      <c r="T7" s="298"/>
      <c r="U7" s="305"/>
      <c r="V7" s="298" t="s">
        <v>346</v>
      </c>
      <c r="W7" s="298" t="s">
        <v>414</v>
      </c>
      <c r="X7" s="1"/>
      <c r="Y7" s="296" t="s">
        <v>415</v>
      </c>
      <c r="Z7" s="296">
        <v>2.0</v>
      </c>
      <c r="AA7" s="1"/>
      <c r="AB7" s="297" t="s">
        <v>416</v>
      </c>
      <c r="AC7" s="297" t="s">
        <v>365</v>
      </c>
      <c r="AD7" s="300" t="s">
        <v>417</v>
      </c>
      <c r="AE7" s="301">
        <v>-2.0</v>
      </c>
      <c r="AF7" s="1"/>
      <c r="AG7" s="296" t="s">
        <v>418</v>
      </c>
      <c r="AH7" s="297"/>
      <c r="AI7" s="297"/>
      <c r="AJ7" s="296">
        <v>1.0</v>
      </c>
      <c r="AK7" s="297"/>
      <c r="AL7" s="297"/>
      <c r="AM7" s="297"/>
      <c r="AN7" s="296">
        <v>-1.0</v>
      </c>
      <c r="AO7" s="297"/>
      <c r="AP7" s="297"/>
      <c r="AQ7" s="297"/>
      <c r="AT7" s="296" t="s">
        <v>386</v>
      </c>
      <c r="AU7" s="296" t="s">
        <v>420</v>
      </c>
      <c r="AV7" s="296" t="s">
        <v>421</v>
      </c>
      <c r="AW7" s="50"/>
    </row>
    <row r="8">
      <c r="A8" s="1"/>
      <c r="B8" s="296" t="s">
        <v>214</v>
      </c>
      <c r="C8" s="50"/>
      <c r="D8" s="296" t="s">
        <v>422</v>
      </c>
      <c r="E8" s="296" t="s">
        <v>352</v>
      </c>
      <c r="F8" s="296" t="s">
        <v>59</v>
      </c>
      <c r="G8" s="296" t="s">
        <v>353</v>
      </c>
      <c r="H8" s="296" t="s">
        <v>374</v>
      </c>
      <c r="I8" s="296" t="s">
        <v>423</v>
      </c>
      <c r="J8" s="296" t="s">
        <v>424</v>
      </c>
      <c r="K8" s="1"/>
      <c r="L8" s="296" t="s">
        <v>425</v>
      </c>
      <c r="N8" s="296" t="s">
        <v>411</v>
      </c>
      <c r="O8" s="296" t="s">
        <v>412</v>
      </c>
      <c r="P8" s="296" t="s">
        <v>26</v>
      </c>
      <c r="Q8" s="296"/>
      <c r="R8" s="1"/>
      <c r="S8" s="308"/>
      <c r="T8" s="159"/>
      <c r="U8" s="305"/>
      <c r="V8" s="298" t="s">
        <v>360</v>
      </c>
      <c r="W8" s="298" t="s">
        <v>426</v>
      </c>
      <c r="X8" s="1"/>
      <c r="Y8" s="296" t="s">
        <v>427</v>
      </c>
      <c r="Z8" s="296">
        <v>3.0</v>
      </c>
      <c r="AA8" s="1"/>
      <c r="AB8" s="297" t="s">
        <v>428</v>
      </c>
      <c r="AC8" s="297" t="s">
        <v>365</v>
      </c>
      <c r="AD8" s="300" t="s">
        <v>429</v>
      </c>
      <c r="AE8" s="301">
        <v>-2.0</v>
      </c>
      <c r="AF8" s="1"/>
      <c r="AG8" s="296" t="s">
        <v>430</v>
      </c>
      <c r="AH8" s="297"/>
      <c r="AI8" s="297"/>
      <c r="AJ8" s="296">
        <v>-1.0</v>
      </c>
      <c r="AK8" s="297"/>
      <c r="AL8" s="297"/>
      <c r="AM8" s="297"/>
      <c r="AN8" s="296">
        <v>1.0</v>
      </c>
      <c r="AO8" s="297"/>
      <c r="AP8" s="297"/>
      <c r="AQ8" s="297"/>
      <c r="AT8" s="296" t="s">
        <v>431</v>
      </c>
      <c r="AU8" s="296" t="s">
        <v>432</v>
      </c>
      <c r="AV8" s="296" t="s">
        <v>420</v>
      </c>
      <c r="AW8" s="50"/>
    </row>
    <row r="9">
      <c r="A9" s="1"/>
      <c r="B9" s="296" t="s">
        <v>185</v>
      </c>
      <c r="C9" s="50"/>
      <c r="D9" s="296" t="s">
        <v>433</v>
      </c>
      <c r="E9" s="296" t="s">
        <v>434</v>
      </c>
      <c r="F9" s="296" t="s">
        <v>58</v>
      </c>
      <c r="G9" s="296" t="s">
        <v>353</v>
      </c>
      <c r="H9" s="296" t="s">
        <v>374</v>
      </c>
      <c r="I9" s="296" t="s">
        <v>409</v>
      </c>
      <c r="J9" s="296" t="s">
        <v>392</v>
      </c>
      <c r="K9" s="1"/>
      <c r="L9" s="296" t="s">
        <v>435</v>
      </c>
      <c r="N9" s="296" t="s">
        <v>436</v>
      </c>
      <c r="O9" s="296" t="s">
        <v>389</v>
      </c>
      <c r="P9" s="296" t="s">
        <v>389</v>
      </c>
      <c r="Q9" s="296" t="s">
        <v>394</v>
      </c>
      <c r="R9" s="1"/>
      <c r="S9" s="308"/>
      <c r="T9" s="298"/>
      <c r="U9" s="305"/>
      <c r="V9" s="298" t="s">
        <v>437</v>
      </c>
      <c r="W9" s="298" t="s">
        <v>438</v>
      </c>
      <c r="X9" s="1"/>
      <c r="Y9" s="296" t="s">
        <v>439</v>
      </c>
      <c r="Z9" s="296">
        <v>4.0</v>
      </c>
      <c r="AA9" s="1"/>
      <c r="AB9" s="297" t="s">
        <v>440</v>
      </c>
      <c r="AC9" s="297" t="s">
        <v>365</v>
      </c>
      <c r="AD9" s="300" t="s">
        <v>366</v>
      </c>
      <c r="AE9" s="301">
        <v>-2.0</v>
      </c>
      <c r="AF9" s="1"/>
      <c r="AG9" s="296" t="s">
        <v>441</v>
      </c>
      <c r="AH9" s="297"/>
      <c r="AI9" s="296">
        <v>-1.0</v>
      </c>
      <c r="AJ9" s="296">
        <v>1.0</v>
      </c>
      <c r="AK9" s="297"/>
      <c r="AL9" s="297"/>
      <c r="AM9" s="297"/>
      <c r="AN9" s="297"/>
      <c r="AO9" s="297"/>
      <c r="AP9" s="297"/>
      <c r="AQ9" s="297"/>
      <c r="AT9" s="296" t="s">
        <v>442</v>
      </c>
      <c r="AU9" s="296" t="s">
        <v>386</v>
      </c>
      <c r="AV9" s="296" t="s">
        <v>443</v>
      </c>
      <c r="AW9" s="50"/>
    </row>
    <row r="10">
      <c r="A10" s="1"/>
      <c r="B10" s="296" t="s">
        <v>444</v>
      </c>
      <c r="C10" s="50"/>
      <c r="D10" s="296" t="s">
        <v>445</v>
      </c>
      <c r="E10" s="296" t="s">
        <v>373</v>
      </c>
      <c r="F10" s="296" t="s">
        <v>58</v>
      </c>
      <c r="G10" s="296" t="s">
        <v>353</v>
      </c>
      <c r="H10" s="296" t="s">
        <v>354</v>
      </c>
      <c r="I10" s="296" t="s">
        <v>26</v>
      </c>
      <c r="J10" s="296" t="s">
        <v>446</v>
      </c>
      <c r="K10" s="1"/>
      <c r="L10" s="296" t="s">
        <v>447</v>
      </c>
      <c r="N10" s="296" t="s">
        <v>448</v>
      </c>
      <c r="O10" s="296" t="s">
        <v>449</v>
      </c>
      <c r="P10" s="296" t="s">
        <v>208</v>
      </c>
      <c r="Q10" s="296"/>
      <c r="R10" s="1"/>
      <c r="S10" s="308"/>
      <c r="T10" s="298"/>
      <c r="U10" s="305"/>
      <c r="V10" s="298" t="s">
        <v>450</v>
      </c>
      <c r="W10" s="298" t="s">
        <v>451</v>
      </c>
      <c r="X10" s="1"/>
      <c r="Y10" s="296" t="s">
        <v>452</v>
      </c>
      <c r="Z10" s="296">
        <v>5.0</v>
      </c>
      <c r="AA10" s="1"/>
      <c r="AB10" s="297" t="s">
        <v>453</v>
      </c>
      <c r="AC10" s="297" t="s">
        <v>365</v>
      </c>
      <c r="AD10" s="300" t="s">
        <v>454</v>
      </c>
      <c r="AE10" s="301">
        <v>-2.0</v>
      </c>
      <c r="AF10" s="1"/>
      <c r="AG10" s="296" t="s">
        <v>455</v>
      </c>
      <c r="AH10" s="297"/>
      <c r="AI10" s="296">
        <v>1.0</v>
      </c>
      <c r="AJ10" s="296">
        <v>-1.0</v>
      </c>
      <c r="AK10" s="297"/>
      <c r="AL10" s="297"/>
      <c r="AM10" s="297"/>
      <c r="AN10" s="297"/>
      <c r="AO10" s="297"/>
      <c r="AP10" s="297"/>
      <c r="AQ10" s="297"/>
      <c r="AT10" s="296" t="s">
        <v>456</v>
      </c>
      <c r="AU10" s="296" t="s">
        <v>457</v>
      </c>
      <c r="AV10" s="296" t="s">
        <v>442</v>
      </c>
      <c r="AW10" s="50"/>
    </row>
    <row r="11">
      <c r="A11" s="1"/>
      <c r="B11" s="296" t="s">
        <v>208</v>
      </c>
      <c r="C11" s="50"/>
      <c r="D11" s="296" t="s">
        <v>458</v>
      </c>
      <c r="E11" s="296" t="s">
        <v>373</v>
      </c>
      <c r="F11" s="296" t="s">
        <v>59</v>
      </c>
      <c r="G11" s="296" t="s">
        <v>459</v>
      </c>
      <c r="H11" s="296" t="s">
        <v>460</v>
      </c>
      <c r="I11" s="296" t="s">
        <v>26</v>
      </c>
      <c r="J11" s="296" t="s">
        <v>461</v>
      </c>
      <c r="K11" s="1"/>
      <c r="L11" s="296" t="s">
        <v>462</v>
      </c>
      <c r="N11" s="296" t="s">
        <v>463</v>
      </c>
      <c r="O11" s="296" t="s">
        <v>153</v>
      </c>
      <c r="P11" s="296" t="s">
        <v>26</v>
      </c>
      <c r="Q11" s="296" t="s">
        <v>394</v>
      </c>
      <c r="R11" s="1"/>
      <c r="S11" s="308"/>
      <c r="T11" s="159"/>
      <c r="U11" s="305"/>
      <c r="V11" s="298" t="s">
        <v>380</v>
      </c>
      <c r="W11" s="298" t="s">
        <v>464</v>
      </c>
      <c r="X11" s="1"/>
      <c r="Y11" s="296"/>
      <c r="Z11" s="297"/>
      <c r="AA11" s="1"/>
      <c r="AB11" s="297" t="s">
        <v>465</v>
      </c>
      <c r="AC11" s="297" t="s">
        <v>401</v>
      </c>
      <c r="AD11" s="300" t="s">
        <v>466</v>
      </c>
      <c r="AE11" s="301">
        <v>-1.0</v>
      </c>
      <c r="AF11" s="1"/>
      <c r="AG11" s="296" t="s">
        <v>467</v>
      </c>
      <c r="AH11" s="297"/>
      <c r="AI11" s="296">
        <v>1.0</v>
      </c>
      <c r="AJ11" s="297"/>
      <c r="AK11" s="297"/>
      <c r="AL11" s="296">
        <v>-1.0</v>
      </c>
      <c r="AM11" s="297"/>
      <c r="AN11" s="297"/>
      <c r="AO11" s="297"/>
      <c r="AP11" s="297"/>
      <c r="AQ11" s="297"/>
      <c r="AT11" s="296" t="s">
        <v>468</v>
      </c>
      <c r="AU11" s="296" t="s">
        <v>469</v>
      </c>
      <c r="AV11" s="296" t="s">
        <v>470</v>
      </c>
      <c r="AW11" s="1"/>
    </row>
    <row r="12">
      <c r="A12" s="1"/>
      <c r="B12" s="296" t="s">
        <v>186</v>
      </c>
      <c r="C12" s="50"/>
      <c r="D12" s="296" t="s">
        <v>471</v>
      </c>
      <c r="E12" s="296" t="s">
        <v>434</v>
      </c>
      <c r="F12" s="296" t="s">
        <v>58</v>
      </c>
      <c r="G12" s="296" t="s">
        <v>472</v>
      </c>
      <c r="H12" s="296" t="s">
        <v>354</v>
      </c>
      <c r="I12" s="296" t="s">
        <v>391</v>
      </c>
      <c r="J12" s="296" t="s">
        <v>392</v>
      </c>
      <c r="K12" s="1"/>
      <c r="L12" s="296" t="s">
        <v>473</v>
      </c>
      <c r="N12" s="296" t="s">
        <v>463</v>
      </c>
      <c r="O12" s="296" t="s">
        <v>474</v>
      </c>
      <c r="P12" s="296" t="s">
        <v>475</v>
      </c>
      <c r="Q12" s="296"/>
      <c r="R12" s="1"/>
      <c r="S12" s="308"/>
      <c r="T12" s="298"/>
      <c r="U12" s="308"/>
      <c r="V12" s="298" t="s">
        <v>476</v>
      </c>
      <c r="W12" s="308"/>
      <c r="X12" s="1"/>
      <c r="Y12" s="296"/>
      <c r="Z12" s="297"/>
      <c r="AA12" s="1"/>
      <c r="AB12" s="297" t="s">
        <v>477</v>
      </c>
      <c r="AC12" s="297" t="s">
        <v>401</v>
      </c>
      <c r="AD12" s="300" t="s">
        <v>478</v>
      </c>
      <c r="AE12" s="301">
        <v>-1.0</v>
      </c>
      <c r="AF12" s="1"/>
      <c r="AG12" s="296" t="s">
        <v>479</v>
      </c>
      <c r="AH12" s="296">
        <v>-1.0</v>
      </c>
      <c r="AI12" s="296">
        <v>1.0</v>
      </c>
      <c r="AJ12" s="297"/>
      <c r="AK12" s="297"/>
      <c r="AL12" s="297"/>
      <c r="AM12" s="297"/>
      <c r="AN12" s="297"/>
      <c r="AO12" s="297"/>
      <c r="AP12" s="297"/>
      <c r="AQ12" s="297"/>
      <c r="AT12" s="296" t="s">
        <v>361</v>
      </c>
      <c r="AU12" s="296" t="s">
        <v>368</v>
      </c>
      <c r="AV12" s="296" t="s">
        <v>405</v>
      </c>
      <c r="AW12" s="1"/>
    </row>
    <row r="13">
      <c r="A13" s="1"/>
      <c r="B13" s="296" t="s">
        <v>217</v>
      </c>
      <c r="C13" s="1"/>
      <c r="D13" s="297"/>
      <c r="E13" s="297"/>
      <c r="F13" s="296"/>
      <c r="G13" s="297"/>
      <c r="H13" s="297"/>
      <c r="I13" s="297"/>
      <c r="J13" s="297"/>
      <c r="K13" s="1"/>
      <c r="L13" s="296" t="s">
        <v>480</v>
      </c>
      <c r="N13" s="296" t="s">
        <v>26</v>
      </c>
      <c r="O13" s="296" t="s">
        <v>26</v>
      </c>
      <c r="P13" s="296" t="s">
        <v>26</v>
      </c>
      <c r="Q13" s="296" t="s">
        <v>394</v>
      </c>
      <c r="R13" s="1"/>
      <c r="S13" s="308"/>
      <c r="T13" s="308"/>
      <c r="U13" s="308"/>
      <c r="V13" s="298" t="s">
        <v>481</v>
      </c>
      <c r="W13" s="308"/>
      <c r="X13" s="1"/>
      <c r="Y13" s="296"/>
      <c r="Z13" s="297"/>
      <c r="AA13" s="1"/>
      <c r="AB13" s="297" t="s">
        <v>482</v>
      </c>
      <c r="AC13" s="297" t="s">
        <v>401</v>
      </c>
      <c r="AD13" s="300" t="s">
        <v>483</v>
      </c>
      <c r="AE13" s="301">
        <v>-1.0</v>
      </c>
      <c r="AF13" s="1"/>
      <c r="AG13" s="296"/>
      <c r="AH13" s="296"/>
      <c r="AI13" s="296"/>
      <c r="AJ13" s="296"/>
      <c r="AK13" s="297"/>
      <c r="AL13" s="297"/>
      <c r="AM13" s="296"/>
      <c r="AN13" s="296"/>
      <c r="AO13" s="297"/>
      <c r="AP13" s="297"/>
      <c r="AQ13" s="297"/>
      <c r="AT13" s="296"/>
      <c r="AU13" s="296"/>
      <c r="AV13" s="296"/>
      <c r="AW13" s="1"/>
    </row>
    <row r="14">
      <c r="A14" s="1"/>
      <c r="B14" s="296" t="s">
        <v>174</v>
      </c>
      <c r="C14" s="1"/>
      <c r="D14" s="297"/>
      <c r="E14" s="297"/>
      <c r="F14" s="297"/>
      <c r="G14" s="297"/>
      <c r="H14" s="297"/>
      <c r="I14" s="297"/>
      <c r="J14" s="297"/>
      <c r="K14" s="1"/>
      <c r="L14" s="296" t="s">
        <v>484</v>
      </c>
      <c r="N14" s="296" t="s">
        <v>436</v>
      </c>
      <c r="O14" s="296" t="s">
        <v>485</v>
      </c>
      <c r="P14" s="296" t="s">
        <v>389</v>
      </c>
      <c r="Q14" s="296"/>
      <c r="R14" s="1"/>
      <c r="S14" s="308"/>
      <c r="T14" s="308"/>
      <c r="U14" s="308"/>
      <c r="V14" s="298" t="s">
        <v>396</v>
      </c>
      <c r="W14" s="308"/>
      <c r="X14" s="1"/>
      <c r="Y14" s="296"/>
      <c r="Z14" s="297"/>
      <c r="AA14" s="1"/>
      <c r="AB14" s="297" t="s">
        <v>486</v>
      </c>
      <c r="AC14" s="297" t="s">
        <v>401</v>
      </c>
      <c r="AD14" s="300" t="s">
        <v>487</v>
      </c>
      <c r="AE14" s="301">
        <v>-1.0</v>
      </c>
      <c r="AF14" s="1"/>
      <c r="AG14" s="296"/>
      <c r="AH14" s="296"/>
      <c r="AI14" s="296"/>
      <c r="AJ14" s="297"/>
      <c r="AK14" s="296"/>
      <c r="AL14" s="296"/>
      <c r="AM14" s="296"/>
      <c r="AN14" s="296"/>
      <c r="AO14" s="297"/>
      <c r="AP14" s="297"/>
      <c r="AQ14" s="297"/>
      <c r="AT14" s="296"/>
      <c r="AU14" s="296"/>
      <c r="AV14" s="296"/>
      <c r="AW14" s="1"/>
    </row>
    <row r="15">
      <c r="A15" s="1"/>
      <c r="B15" s="296" t="s">
        <v>229</v>
      </c>
      <c r="C15" s="1"/>
      <c r="D15" s="297"/>
      <c r="E15" s="297"/>
      <c r="F15" s="296"/>
      <c r="G15" s="297"/>
      <c r="H15" s="297"/>
      <c r="I15" s="297"/>
      <c r="J15" s="297"/>
      <c r="K15" s="1"/>
      <c r="L15" s="296" t="s">
        <v>488</v>
      </c>
      <c r="N15" s="296" t="s">
        <v>26</v>
      </c>
      <c r="O15" s="296" t="s">
        <v>489</v>
      </c>
      <c r="P15" s="296" t="s">
        <v>26</v>
      </c>
      <c r="Q15" s="296" t="s">
        <v>394</v>
      </c>
      <c r="R15" s="1"/>
      <c r="S15" s="308"/>
      <c r="T15" s="308"/>
      <c r="U15" s="308"/>
      <c r="V15" s="298" t="s">
        <v>490</v>
      </c>
      <c r="W15" s="308"/>
      <c r="X15" s="1"/>
      <c r="Y15" s="296"/>
      <c r="Z15" s="297"/>
      <c r="AA15" s="1"/>
      <c r="AB15" s="297" t="s">
        <v>491</v>
      </c>
      <c r="AC15" s="297" t="s">
        <v>401</v>
      </c>
      <c r="AD15" s="300" t="s">
        <v>492</v>
      </c>
      <c r="AE15" s="301">
        <v>-1.0</v>
      </c>
      <c r="AF15" s="1"/>
      <c r="AG15" s="296"/>
      <c r="AH15" s="296"/>
      <c r="AI15" s="296"/>
      <c r="AJ15" s="296"/>
      <c r="AK15" s="297"/>
      <c r="AL15" s="297"/>
      <c r="AM15" s="297"/>
      <c r="AN15" s="297"/>
      <c r="AO15" s="297"/>
      <c r="AP15" s="297"/>
      <c r="AQ15" s="297"/>
      <c r="AT15" s="296"/>
      <c r="AU15" s="296"/>
      <c r="AV15" s="296"/>
      <c r="AW15" s="1"/>
    </row>
    <row r="16">
      <c r="A16" s="1"/>
      <c r="B16" s="296" t="s">
        <v>179</v>
      </c>
      <c r="C16" s="1"/>
      <c r="D16" s="297"/>
      <c r="E16" s="297"/>
      <c r="F16" s="296"/>
      <c r="G16" s="297"/>
      <c r="H16" s="297"/>
      <c r="I16" s="297"/>
      <c r="J16" s="297"/>
      <c r="K16" s="1"/>
      <c r="L16" s="296" t="s">
        <v>493</v>
      </c>
      <c r="N16" s="296" t="s">
        <v>26</v>
      </c>
      <c r="O16" s="296" t="s">
        <v>494</v>
      </c>
      <c r="P16" s="296" t="s">
        <v>26</v>
      </c>
      <c r="Q16" s="296" t="s">
        <v>495</v>
      </c>
      <c r="R16" s="1"/>
      <c r="S16" s="308"/>
      <c r="T16" s="308"/>
      <c r="U16" s="308"/>
      <c r="V16" s="308"/>
      <c r="W16" s="308"/>
      <c r="X16" s="1"/>
      <c r="Y16" s="296"/>
      <c r="Z16" s="297"/>
      <c r="AA16" s="1"/>
      <c r="AB16" s="297" t="s">
        <v>496</v>
      </c>
      <c r="AC16" s="297" t="s">
        <v>401</v>
      </c>
      <c r="AD16" s="300" t="s">
        <v>497</v>
      </c>
      <c r="AE16" s="301">
        <v>-1.0</v>
      </c>
      <c r="AF16" s="1"/>
      <c r="AG16" s="296"/>
      <c r="AH16" s="296"/>
      <c r="AI16" s="296"/>
      <c r="AJ16" s="297"/>
      <c r="AK16" s="296"/>
      <c r="AL16" s="296"/>
      <c r="AM16" s="297"/>
      <c r="AN16" s="296"/>
      <c r="AO16" s="297"/>
      <c r="AP16" s="297"/>
      <c r="AQ16" s="297"/>
      <c r="AT16" s="296"/>
      <c r="AU16" s="296"/>
      <c r="AV16" s="296"/>
      <c r="AW16" s="1"/>
    </row>
    <row r="17">
      <c r="A17" s="1"/>
      <c r="B17" s="296" t="s">
        <v>218</v>
      </c>
      <c r="C17" s="1"/>
      <c r="D17" s="297"/>
      <c r="E17" s="297"/>
      <c r="F17" s="296"/>
      <c r="G17" s="297"/>
      <c r="H17" s="297"/>
      <c r="I17" s="297"/>
      <c r="J17" s="297"/>
      <c r="K17" s="1"/>
      <c r="L17" s="296" t="s">
        <v>498</v>
      </c>
      <c r="N17" s="296" t="s">
        <v>26</v>
      </c>
      <c r="O17" s="296" t="s">
        <v>499</v>
      </c>
      <c r="P17" s="296" t="s">
        <v>26</v>
      </c>
      <c r="Q17" s="296"/>
      <c r="R17" s="1"/>
      <c r="S17" s="308"/>
      <c r="T17" s="308"/>
      <c r="U17" s="308"/>
      <c r="V17" s="308"/>
      <c r="W17" s="308"/>
      <c r="X17" s="1"/>
      <c r="Y17" s="296"/>
      <c r="Z17" s="297"/>
      <c r="AA17" s="1"/>
      <c r="AB17" s="297" t="s">
        <v>500</v>
      </c>
      <c r="AC17" s="297" t="s">
        <v>365</v>
      </c>
      <c r="AD17" s="300" t="s">
        <v>501</v>
      </c>
      <c r="AE17" s="301">
        <v>-2.0</v>
      </c>
      <c r="AF17" s="1"/>
      <c r="AG17" s="296"/>
      <c r="AH17" s="296"/>
      <c r="AI17" s="296"/>
      <c r="AJ17" s="297"/>
      <c r="AK17" s="296"/>
      <c r="AL17" s="297"/>
      <c r="AM17" s="297"/>
      <c r="AN17" s="297"/>
      <c r="AO17" s="296"/>
      <c r="AP17" s="297"/>
      <c r="AQ17" s="296"/>
      <c r="AT17" s="296"/>
      <c r="AU17" s="296"/>
      <c r="AV17" s="296"/>
      <c r="AW17" s="1"/>
    </row>
    <row r="18">
      <c r="A18" s="1"/>
      <c r="B18" s="296" t="s">
        <v>200</v>
      </c>
      <c r="C18" s="1"/>
      <c r="D18" s="297"/>
      <c r="E18" s="297"/>
      <c r="F18" s="296"/>
      <c r="G18" s="297"/>
      <c r="H18" s="297"/>
      <c r="I18" s="297"/>
      <c r="J18" s="297"/>
      <c r="K18" s="1"/>
      <c r="L18" s="296" t="s">
        <v>285</v>
      </c>
      <c r="N18" s="296"/>
      <c r="O18" s="296"/>
      <c r="P18" s="296"/>
      <c r="Q18" s="296"/>
      <c r="R18" s="1"/>
      <c r="S18" s="310"/>
      <c r="T18" s="310"/>
      <c r="U18" s="310"/>
      <c r="V18" s="310"/>
      <c r="W18" s="310"/>
      <c r="X18" s="1"/>
      <c r="Y18" s="297"/>
      <c r="Z18" s="297"/>
      <c r="AA18" s="1"/>
      <c r="AB18" s="297" t="s">
        <v>502</v>
      </c>
      <c r="AC18" s="297" t="s">
        <v>401</v>
      </c>
      <c r="AD18" s="300" t="s">
        <v>503</v>
      </c>
      <c r="AE18" s="301">
        <v>-1.0</v>
      </c>
      <c r="AF18" s="1"/>
      <c r="AG18" s="296"/>
      <c r="AH18" s="296"/>
      <c r="AI18" s="296"/>
      <c r="AJ18" s="296"/>
      <c r="AK18" s="297"/>
      <c r="AL18" s="297"/>
      <c r="AM18" s="296"/>
      <c r="AN18" s="297"/>
      <c r="AO18" s="297"/>
      <c r="AP18" s="297"/>
      <c r="AQ18" s="297"/>
      <c r="AT18" s="296"/>
      <c r="AU18" s="296"/>
      <c r="AV18" s="296"/>
      <c r="AW18" s="1"/>
    </row>
    <row r="19">
      <c r="A19" s="1"/>
      <c r="B19" s="296" t="s">
        <v>475</v>
      </c>
      <c r="C19" s="1"/>
      <c r="D19" s="297"/>
      <c r="E19" s="297"/>
      <c r="F19" s="296"/>
      <c r="G19" s="297"/>
      <c r="H19" s="297"/>
      <c r="I19" s="297"/>
      <c r="J19" s="297"/>
      <c r="K19" s="1"/>
      <c r="L19" s="296"/>
      <c r="N19" s="296"/>
      <c r="O19" s="296"/>
      <c r="P19" s="296"/>
      <c r="Q19" s="296"/>
      <c r="R19" s="1"/>
      <c r="S19" s="310"/>
      <c r="T19" s="310"/>
      <c r="U19" s="310"/>
      <c r="V19" s="310"/>
      <c r="W19" s="310"/>
      <c r="X19" s="1"/>
      <c r="Y19" s="297"/>
      <c r="Z19" s="297"/>
      <c r="AA19" s="1"/>
      <c r="AB19" s="297" t="s">
        <v>504</v>
      </c>
      <c r="AC19" s="297" t="s">
        <v>365</v>
      </c>
      <c r="AD19" s="300" t="s">
        <v>505</v>
      </c>
      <c r="AE19" s="301">
        <v>-2.0</v>
      </c>
      <c r="AF19" s="1"/>
      <c r="AG19" s="296"/>
      <c r="AH19" s="296"/>
      <c r="AI19" s="296"/>
      <c r="AJ19" s="297"/>
      <c r="AK19" s="297"/>
      <c r="AL19" s="297"/>
      <c r="AM19" s="297"/>
      <c r="AN19" s="297"/>
      <c r="AO19" s="297"/>
      <c r="AP19" s="297"/>
      <c r="AQ19" s="297"/>
      <c r="AT19" s="296"/>
      <c r="AU19" s="296"/>
      <c r="AV19" s="296"/>
      <c r="AW19" s="1"/>
    </row>
    <row r="20">
      <c r="A20" s="1"/>
      <c r="B20" s="296" t="s">
        <v>507</v>
      </c>
      <c r="C20" s="1"/>
      <c r="D20" s="297"/>
      <c r="E20" s="297"/>
      <c r="F20" s="296"/>
      <c r="G20" s="297"/>
      <c r="H20" s="297"/>
      <c r="I20" s="297"/>
      <c r="J20" s="297"/>
      <c r="K20" s="1"/>
      <c r="L20" s="296"/>
      <c r="N20" s="296"/>
      <c r="O20" s="296"/>
      <c r="P20" s="296"/>
      <c r="Q20" s="296"/>
      <c r="R20" s="1"/>
      <c r="S20" s="310"/>
      <c r="T20" s="310"/>
      <c r="U20" s="310"/>
      <c r="V20" s="310"/>
      <c r="W20" s="310"/>
      <c r="X20" s="1"/>
      <c r="Y20" s="297"/>
      <c r="Z20" s="297"/>
      <c r="AA20" s="1"/>
      <c r="AB20" s="297" t="s">
        <v>508</v>
      </c>
      <c r="AC20" s="297" t="s">
        <v>365</v>
      </c>
      <c r="AD20" s="300" t="s">
        <v>509</v>
      </c>
      <c r="AE20" s="301">
        <v>-2.0</v>
      </c>
      <c r="AF20" s="1"/>
      <c r="AG20" s="296"/>
      <c r="AH20" s="296"/>
      <c r="AI20" s="296"/>
      <c r="AJ20" s="297"/>
      <c r="AK20" s="297"/>
      <c r="AL20" s="297"/>
      <c r="AM20" s="297"/>
      <c r="AN20" s="297"/>
      <c r="AO20" s="297"/>
      <c r="AP20" s="297"/>
      <c r="AQ20" s="297"/>
      <c r="AT20" s="296"/>
      <c r="AU20" s="296"/>
      <c r="AV20" s="296"/>
      <c r="AW20" s="1"/>
    </row>
    <row r="21">
      <c r="A21" s="1"/>
      <c r="B21" s="296" t="s">
        <v>510</v>
      </c>
      <c r="C21" s="1"/>
      <c r="D21" s="297"/>
      <c r="E21" s="297"/>
      <c r="F21" s="296"/>
      <c r="G21" s="297"/>
      <c r="H21" s="297"/>
      <c r="I21" s="297"/>
      <c r="J21" s="297"/>
      <c r="K21" s="1"/>
      <c r="L21" s="296"/>
      <c r="N21" s="296"/>
      <c r="O21" s="296"/>
      <c r="P21" s="296"/>
      <c r="Q21" s="296"/>
      <c r="R21" s="1"/>
      <c r="S21" s="310"/>
      <c r="T21" s="310"/>
      <c r="U21" s="310"/>
      <c r="V21" s="310"/>
      <c r="W21" s="310"/>
      <c r="X21" s="1"/>
      <c r="Y21" s="297"/>
      <c r="Z21" s="297"/>
      <c r="AA21" s="1"/>
      <c r="AB21" s="297" t="s">
        <v>511</v>
      </c>
      <c r="AC21" s="297" t="s">
        <v>401</v>
      </c>
      <c r="AD21" s="300" t="s">
        <v>512</v>
      </c>
      <c r="AE21" s="301">
        <v>-1.0</v>
      </c>
      <c r="AF21" s="1"/>
      <c r="AG21" s="296"/>
      <c r="AH21" s="296"/>
      <c r="AI21" s="296"/>
      <c r="AJ21" s="297"/>
      <c r="AK21" s="296"/>
      <c r="AL21" s="296"/>
      <c r="AM21" s="297"/>
      <c r="AN21" s="296"/>
      <c r="AO21" s="297"/>
      <c r="AP21" s="297"/>
      <c r="AQ21" s="297"/>
      <c r="AT21" s="296"/>
      <c r="AU21" s="296"/>
      <c r="AV21" s="296"/>
      <c r="AW21" s="1"/>
    </row>
    <row r="22">
      <c r="A22" s="1"/>
      <c r="B22" s="296" t="s">
        <v>513</v>
      </c>
      <c r="C22" s="1"/>
      <c r="D22" s="297"/>
      <c r="E22" s="297"/>
      <c r="F22" s="296"/>
      <c r="G22" s="297"/>
      <c r="H22" s="297"/>
      <c r="I22" s="297"/>
      <c r="J22" s="297"/>
      <c r="K22" s="1"/>
      <c r="L22" s="296"/>
      <c r="N22" s="296"/>
      <c r="O22" s="296"/>
      <c r="P22" s="296"/>
      <c r="Q22" s="296"/>
      <c r="R22" s="1"/>
      <c r="S22" s="310"/>
      <c r="T22" s="310"/>
      <c r="U22" s="310"/>
      <c r="V22" s="310"/>
      <c r="W22" s="310"/>
      <c r="X22" s="1"/>
      <c r="Y22" s="297"/>
      <c r="Z22" s="297"/>
      <c r="AA22" s="1"/>
      <c r="AB22" s="297" t="s">
        <v>515</v>
      </c>
      <c r="AC22" s="297" t="s">
        <v>401</v>
      </c>
      <c r="AD22" s="300" t="s">
        <v>516</v>
      </c>
      <c r="AE22" s="301">
        <v>-1.0</v>
      </c>
      <c r="AF22" s="1"/>
      <c r="AG22" s="296"/>
      <c r="AH22" s="296"/>
      <c r="AI22" s="296"/>
      <c r="AJ22" s="297"/>
      <c r="AK22" s="296"/>
      <c r="AL22" s="297"/>
      <c r="AM22" s="297"/>
      <c r="AN22" s="296"/>
      <c r="AO22" s="297"/>
      <c r="AP22" s="297"/>
      <c r="AQ22" s="297"/>
      <c r="AT22" s="296"/>
      <c r="AU22" s="296"/>
      <c r="AV22" s="296"/>
      <c r="AW22" s="1"/>
    </row>
    <row r="23">
      <c r="A23" s="1"/>
      <c r="B23" s="296" t="s">
        <v>257</v>
      </c>
      <c r="C23" s="1"/>
      <c r="D23" s="297"/>
      <c r="E23" s="297"/>
      <c r="F23" s="296"/>
      <c r="G23" s="297"/>
      <c r="H23" s="297"/>
      <c r="I23" s="297"/>
      <c r="J23" s="297"/>
      <c r="K23" s="1"/>
      <c r="L23" s="296"/>
      <c r="N23" s="296"/>
      <c r="O23" s="296"/>
      <c r="P23" s="296"/>
      <c r="Q23" s="296"/>
      <c r="R23" s="1"/>
      <c r="S23" s="310"/>
      <c r="T23" s="310"/>
      <c r="U23" s="310"/>
      <c r="V23" s="310"/>
      <c r="W23" s="310"/>
      <c r="X23" s="1"/>
      <c r="Y23" s="297"/>
      <c r="Z23" s="297"/>
      <c r="AA23" s="1"/>
      <c r="AB23" s="297"/>
      <c r="AC23" s="297"/>
      <c r="AD23" s="300"/>
      <c r="AE23" s="311"/>
      <c r="AF23" s="1"/>
      <c r="AG23" s="296"/>
      <c r="AH23" s="296"/>
      <c r="AI23" s="296"/>
      <c r="AJ23" s="297"/>
      <c r="AK23" s="296"/>
      <c r="AL23" s="297"/>
      <c r="AM23" s="297"/>
      <c r="AN23" s="297"/>
      <c r="AO23" s="297"/>
      <c r="AP23" s="297"/>
      <c r="AQ23" s="297"/>
      <c r="AT23" s="296"/>
      <c r="AU23" s="296"/>
      <c r="AV23" s="296"/>
      <c r="AW23" s="1"/>
    </row>
    <row r="24">
      <c r="A24" s="1"/>
      <c r="B24" s="296" t="s">
        <v>258</v>
      </c>
      <c r="C24" s="1"/>
      <c r="D24" s="297"/>
      <c r="E24" s="297"/>
      <c r="F24" s="297"/>
      <c r="G24" s="297"/>
      <c r="H24" s="297"/>
      <c r="I24" s="297"/>
      <c r="J24" s="297"/>
      <c r="K24" s="1"/>
      <c r="L24" s="296"/>
      <c r="N24" s="296"/>
      <c r="O24" s="296"/>
      <c r="P24" s="296"/>
      <c r="Q24" s="296"/>
      <c r="R24" s="1"/>
      <c r="S24" s="310"/>
      <c r="T24" s="310"/>
      <c r="U24" s="310"/>
      <c r="V24" s="310"/>
      <c r="W24" s="310"/>
      <c r="X24" s="1"/>
      <c r="Y24" s="297"/>
      <c r="Z24" s="297"/>
      <c r="AA24" s="1"/>
      <c r="AB24" s="302"/>
      <c r="AC24" s="302"/>
      <c r="AD24" s="312"/>
      <c r="AE24" s="313"/>
      <c r="AF24" s="1"/>
      <c r="AG24" s="296"/>
      <c r="AH24" s="296"/>
      <c r="AI24" s="296"/>
      <c r="AJ24" s="297"/>
      <c r="AK24" s="297"/>
      <c r="AL24" s="297"/>
      <c r="AM24" s="297"/>
      <c r="AN24" s="296"/>
      <c r="AO24" s="297"/>
      <c r="AP24" s="297"/>
      <c r="AQ24" s="297"/>
      <c r="AT24" s="296"/>
      <c r="AU24" s="296"/>
      <c r="AV24" s="296"/>
      <c r="AW24" s="1"/>
    </row>
    <row r="25">
      <c r="A25" s="1"/>
      <c r="B25" s="296" t="s">
        <v>517</v>
      </c>
      <c r="C25" s="1"/>
      <c r="D25" s="297"/>
      <c r="E25" s="297"/>
      <c r="F25" s="297"/>
      <c r="G25" s="297"/>
      <c r="H25" s="297"/>
      <c r="I25" s="297"/>
      <c r="J25" s="297"/>
      <c r="K25" s="1"/>
      <c r="L25" s="296"/>
      <c r="N25" s="296"/>
      <c r="O25" s="296"/>
      <c r="P25" s="296"/>
      <c r="Q25" s="296"/>
      <c r="R25" s="1"/>
      <c r="S25" s="310"/>
      <c r="T25" s="310"/>
      <c r="U25" s="310"/>
      <c r="V25" s="310"/>
      <c r="W25" s="310"/>
      <c r="X25" s="1"/>
      <c r="Y25" s="297"/>
      <c r="Z25" s="297"/>
      <c r="AA25" s="1"/>
      <c r="AB25" s="296"/>
      <c r="AC25" s="296"/>
      <c r="AD25" s="315"/>
      <c r="AE25" s="317"/>
      <c r="AF25" s="1"/>
      <c r="AG25" s="296"/>
      <c r="AH25" s="296"/>
      <c r="AI25" s="296"/>
      <c r="AJ25" s="296"/>
      <c r="AK25" s="296"/>
      <c r="AL25" s="296"/>
      <c r="AM25" s="296"/>
      <c r="AN25" s="297"/>
      <c r="AO25" s="297"/>
      <c r="AP25" s="297"/>
      <c r="AQ25" s="297"/>
      <c r="AT25" s="296"/>
      <c r="AU25" s="296"/>
      <c r="AV25" s="296"/>
      <c r="AW25" s="1"/>
    </row>
    <row r="26">
      <c r="A26" s="1"/>
      <c r="B26" s="297"/>
      <c r="C26" s="1"/>
      <c r="D26" s="297"/>
      <c r="E26" s="297"/>
      <c r="F26" s="297"/>
      <c r="G26" s="297"/>
      <c r="H26" s="297"/>
      <c r="I26" s="297"/>
      <c r="J26" s="297"/>
      <c r="K26" s="1"/>
      <c r="L26" s="296"/>
      <c r="N26" s="296"/>
      <c r="O26" s="296"/>
      <c r="P26" s="296"/>
      <c r="Q26" s="296"/>
      <c r="R26" s="1"/>
      <c r="S26" s="310"/>
      <c r="T26" s="310"/>
      <c r="U26" s="310"/>
      <c r="V26" s="310"/>
      <c r="W26" s="310"/>
      <c r="X26" s="1"/>
      <c r="Y26" s="297"/>
      <c r="Z26" s="297"/>
      <c r="AA26" s="1"/>
      <c r="AB26" s="297"/>
      <c r="AC26" s="297"/>
      <c r="AD26" s="300"/>
      <c r="AE26" s="301"/>
      <c r="AF26" s="1"/>
      <c r="AG26" s="296"/>
      <c r="AH26" s="296"/>
      <c r="AI26" s="296"/>
      <c r="AJ26" s="297"/>
      <c r="AK26" s="297"/>
      <c r="AL26" s="296"/>
      <c r="AM26" s="296"/>
      <c r="AN26" s="297"/>
      <c r="AO26" s="297"/>
      <c r="AP26" s="297"/>
      <c r="AQ26" s="297"/>
      <c r="AT26" s="296"/>
      <c r="AU26" s="296"/>
      <c r="AV26" s="296"/>
      <c r="AW26" s="1"/>
    </row>
    <row r="27">
      <c r="A27" s="1"/>
      <c r="B27" s="297"/>
      <c r="C27" s="1"/>
      <c r="D27" s="297"/>
      <c r="E27" s="297"/>
      <c r="F27" s="297"/>
      <c r="G27" s="297"/>
      <c r="H27" s="297"/>
      <c r="I27" s="297"/>
      <c r="J27" s="297"/>
      <c r="K27" s="1"/>
      <c r="L27" s="296"/>
      <c r="N27" s="296"/>
      <c r="O27" s="296"/>
      <c r="P27" s="296"/>
      <c r="Q27" s="296"/>
      <c r="R27" s="1"/>
      <c r="S27" s="310"/>
      <c r="T27" s="310"/>
      <c r="U27" s="310"/>
      <c r="V27" s="310"/>
      <c r="W27" s="310"/>
      <c r="X27" s="1"/>
      <c r="Y27" s="297"/>
      <c r="Z27" s="297"/>
      <c r="AA27" s="1"/>
      <c r="AB27" s="297"/>
      <c r="AC27" s="297"/>
      <c r="AD27" s="300"/>
      <c r="AE27" s="301"/>
      <c r="AF27" s="1"/>
      <c r="AG27" s="296"/>
      <c r="AH27" s="296"/>
      <c r="AI27" s="296"/>
      <c r="AJ27" s="297"/>
      <c r="AK27" s="296"/>
      <c r="AL27" s="296"/>
      <c r="AM27" s="297"/>
      <c r="AN27" s="296"/>
      <c r="AO27" s="297"/>
      <c r="AP27" s="297"/>
      <c r="AQ27" s="297"/>
      <c r="AT27" s="296"/>
      <c r="AU27" s="296"/>
      <c r="AV27" s="296"/>
      <c r="AW27" s="1"/>
    </row>
    <row r="28">
      <c r="A28" s="1"/>
      <c r="B28" s="297"/>
      <c r="C28" s="1"/>
      <c r="D28" s="297"/>
      <c r="E28" s="297"/>
      <c r="F28" s="297"/>
      <c r="G28" s="297"/>
      <c r="H28" s="297"/>
      <c r="I28" s="297"/>
      <c r="J28" s="297"/>
      <c r="K28" s="1"/>
      <c r="L28" s="296"/>
      <c r="N28" s="296"/>
      <c r="O28" s="296"/>
      <c r="P28" s="296"/>
      <c r="Q28" s="296"/>
      <c r="R28" s="1"/>
      <c r="S28" s="310"/>
      <c r="T28" s="310"/>
      <c r="U28" s="310"/>
      <c r="V28" s="310"/>
      <c r="W28" s="310"/>
      <c r="X28" s="1"/>
      <c r="Y28" s="297"/>
      <c r="Z28" s="297"/>
      <c r="AA28" s="1"/>
      <c r="AB28" s="297"/>
      <c r="AC28" s="297"/>
      <c r="AD28" s="300"/>
      <c r="AE28" s="301"/>
      <c r="AF28" s="1"/>
      <c r="AG28" s="296"/>
      <c r="AH28" s="296"/>
      <c r="AI28" s="296"/>
      <c r="AJ28" s="297"/>
      <c r="AK28" s="296"/>
      <c r="AL28" s="297"/>
      <c r="AM28" s="297"/>
      <c r="AN28" s="297"/>
      <c r="AO28" s="296"/>
      <c r="AP28" s="297"/>
      <c r="AQ28" s="297"/>
      <c r="AT28" s="296"/>
      <c r="AU28" s="296"/>
      <c r="AV28" s="296"/>
      <c r="AW28" s="1"/>
    </row>
    <row r="29">
      <c r="A29" s="1"/>
      <c r="B29" s="297"/>
      <c r="C29" s="1"/>
      <c r="D29" s="297"/>
      <c r="E29" s="297"/>
      <c r="F29" s="297"/>
      <c r="G29" s="297"/>
      <c r="H29" s="297"/>
      <c r="I29" s="297"/>
      <c r="J29" s="297"/>
      <c r="K29" s="1"/>
      <c r="L29" s="296"/>
      <c r="N29" s="296"/>
      <c r="O29" s="296"/>
      <c r="P29" s="296"/>
      <c r="Q29" s="296"/>
      <c r="R29" s="1"/>
      <c r="S29" s="310"/>
      <c r="T29" s="310"/>
      <c r="U29" s="310"/>
      <c r="V29" s="310"/>
      <c r="W29" s="310"/>
      <c r="X29" s="1"/>
      <c r="Y29" s="297"/>
      <c r="Z29" s="297"/>
      <c r="AA29" s="1"/>
      <c r="AB29" s="297"/>
      <c r="AC29" s="297"/>
      <c r="AD29" s="300"/>
      <c r="AE29" s="301"/>
      <c r="AF29" s="1"/>
      <c r="AG29" s="296"/>
      <c r="AH29" s="296"/>
      <c r="AI29" s="296"/>
      <c r="AJ29" s="296"/>
      <c r="AK29" s="297"/>
      <c r="AL29" s="296"/>
      <c r="AM29" s="296"/>
      <c r="AN29" s="297"/>
      <c r="AO29" s="297"/>
      <c r="AP29" s="297"/>
      <c r="AQ29" s="297"/>
      <c r="AT29" s="296"/>
      <c r="AU29" s="296"/>
      <c r="AV29" s="296"/>
      <c r="AW29" s="1"/>
    </row>
    <row r="30">
      <c r="A30" s="1"/>
      <c r="B30" s="297"/>
      <c r="C30" s="1"/>
      <c r="D30" s="297"/>
      <c r="E30" s="297"/>
      <c r="F30" s="297"/>
      <c r="G30" s="297"/>
      <c r="H30" s="297"/>
      <c r="I30" s="297"/>
      <c r="J30" s="297"/>
      <c r="K30" s="1"/>
      <c r="L30" s="296"/>
      <c r="N30" s="296"/>
      <c r="O30" s="296"/>
      <c r="P30" s="296"/>
      <c r="Q30" s="296"/>
      <c r="R30" s="1"/>
      <c r="S30" s="310"/>
      <c r="T30" s="310"/>
      <c r="U30" s="310"/>
      <c r="V30" s="310"/>
      <c r="W30" s="310"/>
      <c r="X30" s="1"/>
      <c r="Y30" s="297"/>
      <c r="Z30" s="297"/>
      <c r="AA30" s="1"/>
      <c r="AB30" s="297"/>
      <c r="AC30" s="297"/>
      <c r="AD30" s="300"/>
      <c r="AE30" s="301"/>
      <c r="AF30" s="1"/>
      <c r="AG30" s="296"/>
      <c r="AH30" s="296"/>
      <c r="AI30" s="296"/>
      <c r="AJ30" s="296"/>
      <c r="AK30" s="297"/>
      <c r="AL30" s="297"/>
      <c r="AM30" s="296"/>
      <c r="AN30" s="297"/>
      <c r="AO30" s="297"/>
      <c r="AP30" s="297"/>
      <c r="AQ30" s="297"/>
      <c r="AT30" s="296"/>
      <c r="AU30" s="296"/>
      <c r="AV30" s="296"/>
      <c r="AW30" s="1"/>
    </row>
    <row r="31">
      <c r="A31" s="1"/>
      <c r="B31" s="297"/>
      <c r="C31" s="1"/>
      <c r="D31" s="297"/>
      <c r="E31" s="297"/>
      <c r="F31" s="297"/>
      <c r="G31" s="297"/>
      <c r="H31" s="297"/>
      <c r="I31" s="297"/>
      <c r="J31" s="297"/>
      <c r="K31" s="1"/>
      <c r="L31" s="296"/>
      <c r="N31" s="296"/>
      <c r="O31" s="296"/>
      <c r="P31" s="296"/>
      <c r="Q31" s="296"/>
      <c r="R31" s="1"/>
      <c r="S31" s="310"/>
      <c r="T31" s="310"/>
      <c r="U31" s="310"/>
      <c r="V31" s="310"/>
      <c r="W31" s="310"/>
      <c r="X31" s="1"/>
      <c r="Y31" s="297"/>
      <c r="Z31" s="297"/>
      <c r="AA31" s="1"/>
      <c r="AB31" s="297"/>
      <c r="AC31" s="297"/>
      <c r="AD31" s="300"/>
      <c r="AE31" s="301"/>
      <c r="AF31" s="1"/>
      <c r="AG31" s="296"/>
      <c r="AH31" s="296"/>
      <c r="AI31" s="296"/>
      <c r="AJ31" s="296"/>
      <c r="AK31" s="297"/>
      <c r="AL31" s="296"/>
      <c r="AM31" s="296"/>
      <c r="AN31" s="297"/>
      <c r="AO31" s="297"/>
      <c r="AP31" s="296"/>
      <c r="AQ31" s="297"/>
      <c r="AT31" s="296"/>
      <c r="AU31" s="296"/>
      <c r="AV31" s="296"/>
      <c r="AW31" s="1"/>
    </row>
    <row r="32">
      <c r="A32" s="1"/>
      <c r="B32" s="297"/>
      <c r="C32" s="1"/>
      <c r="D32" s="297"/>
      <c r="E32" s="297"/>
      <c r="F32" s="297"/>
      <c r="G32" s="297"/>
      <c r="H32" s="297"/>
      <c r="I32" s="297"/>
      <c r="J32" s="297"/>
      <c r="K32" s="1"/>
      <c r="L32" s="296"/>
      <c r="N32" s="296"/>
      <c r="O32" s="296"/>
      <c r="P32" s="296"/>
      <c r="Q32" s="296"/>
      <c r="R32" s="1"/>
      <c r="S32" s="310"/>
      <c r="T32" s="310"/>
      <c r="U32" s="310"/>
      <c r="V32" s="310"/>
      <c r="W32" s="310"/>
      <c r="X32" s="1"/>
      <c r="Y32" s="297"/>
      <c r="Z32" s="297"/>
      <c r="AA32" s="1"/>
      <c r="AB32" s="297"/>
      <c r="AC32" s="297"/>
      <c r="AD32" s="300"/>
      <c r="AE32" s="301"/>
      <c r="AF32" s="1"/>
      <c r="AG32" s="296"/>
      <c r="AH32" s="296"/>
      <c r="AI32" s="296"/>
      <c r="AJ32" s="297"/>
      <c r="AK32" s="297"/>
      <c r="AL32" s="297"/>
      <c r="AM32" s="296"/>
      <c r="AN32" s="296"/>
      <c r="AO32" s="297"/>
      <c r="AP32" s="297"/>
      <c r="AQ32" s="297"/>
      <c r="AT32" s="296"/>
      <c r="AU32" s="296"/>
      <c r="AV32" s="296"/>
      <c r="AW32" s="1"/>
    </row>
    <row r="33">
      <c r="A33" s="1"/>
      <c r="B33" s="297"/>
      <c r="C33" s="1"/>
      <c r="D33" s="297"/>
      <c r="E33" s="297"/>
      <c r="F33" s="297"/>
      <c r="G33" s="297"/>
      <c r="H33" s="297"/>
      <c r="I33" s="297"/>
      <c r="J33" s="297"/>
      <c r="K33" s="1"/>
      <c r="L33" s="296"/>
      <c r="N33" s="296"/>
      <c r="O33" s="296"/>
      <c r="P33" s="296"/>
      <c r="Q33" s="296"/>
      <c r="R33" s="1"/>
      <c r="S33" s="310"/>
      <c r="T33" s="310"/>
      <c r="U33" s="310"/>
      <c r="V33" s="310"/>
      <c r="W33" s="310"/>
      <c r="X33" s="1"/>
      <c r="Y33" s="297"/>
      <c r="Z33" s="297"/>
      <c r="AA33" s="1"/>
      <c r="AB33" s="297"/>
      <c r="AC33" s="297"/>
      <c r="AD33" s="300"/>
      <c r="AE33" s="301"/>
      <c r="AF33" s="1"/>
      <c r="AG33" s="296"/>
      <c r="AH33" s="296"/>
      <c r="AI33" s="296"/>
      <c r="AJ33" s="297"/>
      <c r="AK33" s="297"/>
      <c r="AL33" s="297"/>
      <c r="AM33" s="297"/>
      <c r="AN33" s="296"/>
      <c r="AO33" s="297"/>
      <c r="AP33" s="297"/>
      <c r="AQ33" s="297"/>
      <c r="AT33" s="296"/>
      <c r="AU33" s="296"/>
      <c r="AV33" s="296"/>
      <c r="AW33" s="1"/>
    </row>
    <row r="34">
      <c r="A34" s="1"/>
      <c r="B34" s="297"/>
      <c r="C34" s="1"/>
      <c r="D34" s="297"/>
      <c r="E34" s="297"/>
      <c r="F34" s="297"/>
      <c r="G34" s="297"/>
      <c r="H34" s="297"/>
      <c r="I34" s="297"/>
      <c r="J34" s="297"/>
      <c r="K34" s="1"/>
      <c r="L34" s="296"/>
      <c r="N34" s="296"/>
      <c r="O34" s="296"/>
      <c r="P34" s="296"/>
      <c r="Q34" s="296"/>
      <c r="R34" s="1"/>
      <c r="S34" s="310"/>
      <c r="T34" s="310"/>
      <c r="U34" s="310"/>
      <c r="V34" s="310"/>
      <c r="W34" s="310"/>
      <c r="X34" s="1"/>
      <c r="Y34" s="297"/>
      <c r="Z34" s="297"/>
      <c r="AA34" s="1"/>
      <c r="AB34" s="297"/>
      <c r="AC34" s="297"/>
      <c r="AD34" s="300"/>
      <c r="AE34" s="301"/>
      <c r="AF34" s="1"/>
      <c r="AG34" s="297"/>
      <c r="AH34" s="297"/>
      <c r="AI34" s="297"/>
      <c r="AJ34" s="297"/>
      <c r="AK34" s="297"/>
      <c r="AL34" s="297"/>
      <c r="AM34" s="297"/>
      <c r="AN34" s="297"/>
      <c r="AO34" s="297"/>
      <c r="AP34" s="297"/>
      <c r="AQ34" s="297"/>
      <c r="AR34" s="297"/>
      <c r="AS34" s="297"/>
      <c r="AT34" s="297"/>
      <c r="AU34" s="297"/>
      <c r="AV34" s="297"/>
      <c r="AW34" s="1"/>
    </row>
    <row r="35">
      <c r="A35" s="1"/>
      <c r="B35" s="297"/>
      <c r="C35" s="1"/>
      <c r="D35" s="297"/>
      <c r="E35" s="297"/>
      <c r="F35" s="297"/>
      <c r="G35" s="297"/>
      <c r="H35" s="297"/>
      <c r="I35" s="297"/>
      <c r="J35" s="297"/>
      <c r="K35" s="1"/>
      <c r="L35" s="296"/>
      <c r="N35" s="296"/>
      <c r="O35" s="296"/>
      <c r="P35" s="296"/>
      <c r="Q35" s="296"/>
      <c r="R35" s="1"/>
      <c r="S35" s="310"/>
      <c r="T35" s="310"/>
      <c r="U35" s="310"/>
      <c r="V35" s="310"/>
      <c r="W35" s="310"/>
      <c r="X35" s="1"/>
      <c r="Y35" s="297"/>
      <c r="Z35" s="297"/>
      <c r="AA35" s="1"/>
      <c r="AB35" s="297"/>
      <c r="AC35" s="297"/>
      <c r="AD35" s="300"/>
      <c r="AE35" s="301"/>
      <c r="AF35" s="1"/>
      <c r="AG35" s="297"/>
      <c r="AH35" s="297"/>
      <c r="AI35" s="297"/>
      <c r="AJ35" s="297"/>
      <c r="AK35" s="297"/>
      <c r="AL35" s="297"/>
      <c r="AM35" s="297"/>
      <c r="AN35" s="297"/>
      <c r="AO35" s="297"/>
      <c r="AP35" s="297"/>
      <c r="AQ35" s="297"/>
      <c r="AR35" s="297"/>
      <c r="AS35" s="297"/>
      <c r="AT35" s="297"/>
      <c r="AU35" s="297"/>
      <c r="AV35" s="297"/>
      <c r="AW35" s="1"/>
    </row>
    <row r="36">
      <c r="A36" s="1"/>
      <c r="B36" s="297"/>
      <c r="C36" s="1"/>
      <c r="D36" s="297"/>
      <c r="E36" s="297"/>
      <c r="F36" s="297"/>
      <c r="G36" s="297"/>
      <c r="H36" s="297"/>
      <c r="I36" s="297"/>
      <c r="J36" s="297"/>
      <c r="K36" s="1"/>
      <c r="L36" s="296"/>
      <c r="N36" s="296"/>
      <c r="O36" s="296"/>
      <c r="P36" s="296"/>
      <c r="Q36" s="296"/>
      <c r="R36" s="1"/>
      <c r="S36" s="310"/>
      <c r="T36" s="310"/>
      <c r="U36" s="310"/>
      <c r="V36" s="310"/>
      <c r="W36" s="310"/>
      <c r="X36" s="1"/>
      <c r="Y36" s="297"/>
      <c r="Z36" s="297"/>
      <c r="AA36" s="1"/>
      <c r="AB36" s="297"/>
      <c r="AC36" s="297"/>
      <c r="AD36" s="300"/>
      <c r="AE36" s="301"/>
      <c r="AF36" s="1"/>
      <c r="AG36" s="297"/>
      <c r="AH36" s="297"/>
      <c r="AI36" s="297"/>
      <c r="AJ36" s="297"/>
      <c r="AK36" s="297"/>
      <c r="AL36" s="297"/>
      <c r="AM36" s="297"/>
      <c r="AN36" s="297"/>
      <c r="AO36" s="297"/>
      <c r="AP36" s="297"/>
      <c r="AQ36" s="297"/>
      <c r="AR36" s="297"/>
      <c r="AS36" s="297"/>
      <c r="AT36" s="297"/>
      <c r="AU36" s="297"/>
      <c r="AV36" s="297"/>
      <c r="AW36" s="1"/>
    </row>
    <row r="37">
      <c r="A37" s="1"/>
      <c r="B37" s="297"/>
      <c r="C37" s="1"/>
      <c r="D37" s="297"/>
      <c r="E37" s="297"/>
      <c r="F37" s="297"/>
      <c r="G37" s="297"/>
      <c r="H37" s="297"/>
      <c r="I37" s="297"/>
      <c r="J37" s="297"/>
      <c r="K37" s="1"/>
      <c r="L37" s="296"/>
      <c r="N37" s="296"/>
      <c r="O37" s="296"/>
      <c r="P37" s="296"/>
      <c r="Q37" s="296"/>
      <c r="R37" s="1"/>
      <c r="S37" s="310"/>
      <c r="T37" s="310"/>
      <c r="U37" s="310"/>
      <c r="V37" s="310"/>
      <c r="W37" s="310"/>
      <c r="X37" s="1"/>
      <c r="Y37" s="297"/>
      <c r="Z37" s="297"/>
      <c r="AA37" s="1"/>
      <c r="AB37" s="297"/>
      <c r="AC37" s="297"/>
      <c r="AD37" s="300"/>
      <c r="AE37" s="301"/>
      <c r="AF37" s="1"/>
      <c r="AG37" s="297"/>
      <c r="AH37" s="297"/>
      <c r="AI37" s="297"/>
      <c r="AJ37" s="297"/>
      <c r="AK37" s="297"/>
      <c r="AL37" s="297"/>
      <c r="AM37" s="297"/>
      <c r="AN37" s="297"/>
      <c r="AO37" s="297"/>
      <c r="AP37" s="297"/>
      <c r="AQ37" s="297"/>
      <c r="AR37" s="297"/>
      <c r="AS37" s="297"/>
      <c r="AT37" s="297"/>
      <c r="AU37" s="297"/>
      <c r="AV37" s="297"/>
      <c r="AW37" s="1"/>
    </row>
    <row r="38">
      <c r="A38" s="1"/>
      <c r="B38" s="297"/>
      <c r="C38" s="1"/>
      <c r="D38" s="297"/>
      <c r="E38" s="297"/>
      <c r="F38" s="297"/>
      <c r="G38" s="297"/>
      <c r="H38" s="297"/>
      <c r="I38" s="297"/>
      <c r="J38" s="297"/>
      <c r="K38" s="1"/>
      <c r="L38" s="296"/>
      <c r="N38" s="296"/>
      <c r="O38" s="296"/>
      <c r="P38" s="296"/>
      <c r="Q38" s="296"/>
      <c r="R38" s="1"/>
      <c r="S38" s="310"/>
      <c r="T38" s="310"/>
      <c r="U38" s="310"/>
      <c r="V38" s="310"/>
      <c r="W38" s="310"/>
      <c r="X38" s="1"/>
      <c r="Y38" s="297"/>
      <c r="Z38" s="297"/>
      <c r="AA38" s="1"/>
      <c r="AB38" s="297"/>
      <c r="AC38" s="297"/>
      <c r="AD38" s="300"/>
      <c r="AE38" s="301"/>
      <c r="AF38" s="1"/>
      <c r="AG38" s="297"/>
      <c r="AH38" s="297"/>
      <c r="AI38" s="297"/>
      <c r="AJ38" s="297"/>
      <c r="AK38" s="297"/>
      <c r="AL38" s="297"/>
      <c r="AM38" s="297"/>
      <c r="AN38" s="297"/>
      <c r="AO38" s="297"/>
      <c r="AP38" s="297"/>
      <c r="AQ38" s="297"/>
      <c r="AR38" s="297"/>
      <c r="AS38" s="297"/>
      <c r="AT38" s="297"/>
      <c r="AU38" s="297"/>
      <c r="AV38" s="297"/>
      <c r="AW38" s="1"/>
    </row>
    <row r="39">
      <c r="A39" s="1"/>
      <c r="B39" s="297"/>
      <c r="C39" s="1"/>
      <c r="D39" s="297"/>
      <c r="E39" s="297"/>
      <c r="F39" s="297"/>
      <c r="G39" s="297"/>
      <c r="H39" s="297"/>
      <c r="I39" s="297"/>
      <c r="J39" s="297"/>
      <c r="K39" s="1"/>
      <c r="L39" s="296"/>
      <c r="N39" s="296"/>
      <c r="O39" s="296"/>
      <c r="P39" s="296"/>
      <c r="Q39" s="296"/>
      <c r="R39" s="1"/>
      <c r="S39" s="310"/>
      <c r="T39" s="310"/>
      <c r="U39" s="310"/>
      <c r="V39" s="310"/>
      <c r="W39" s="310"/>
      <c r="X39" s="1"/>
      <c r="Y39" s="297"/>
      <c r="Z39" s="297"/>
      <c r="AA39" s="1"/>
      <c r="AB39" s="297"/>
      <c r="AC39" s="297"/>
      <c r="AD39" s="300"/>
      <c r="AE39" s="301"/>
      <c r="AF39" s="1"/>
      <c r="AG39" s="297"/>
      <c r="AH39" s="297"/>
      <c r="AI39" s="297"/>
      <c r="AJ39" s="297"/>
      <c r="AK39" s="297"/>
      <c r="AL39" s="297"/>
      <c r="AM39" s="297"/>
      <c r="AN39" s="297"/>
      <c r="AO39" s="297"/>
      <c r="AP39" s="297"/>
      <c r="AQ39" s="297"/>
      <c r="AR39" s="297"/>
      <c r="AS39" s="297"/>
      <c r="AT39" s="297"/>
      <c r="AU39" s="297"/>
      <c r="AV39" s="297"/>
      <c r="AW39" s="1"/>
    </row>
    <row r="40">
      <c r="A40" s="1"/>
      <c r="B40" s="297"/>
      <c r="C40" s="1"/>
      <c r="D40" s="297"/>
      <c r="E40" s="297"/>
      <c r="F40" s="297"/>
      <c r="G40" s="297"/>
      <c r="H40" s="297"/>
      <c r="I40" s="297"/>
      <c r="J40" s="297"/>
      <c r="K40" s="1"/>
      <c r="L40" s="296"/>
      <c r="N40" s="296"/>
      <c r="O40" s="296"/>
      <c r="P40" s="296"/>
      <c r="Q40" s="296"/>
      <c r="R40" s="1"/>
      <c r="S40" s="310"/>
      <c r="T40" s="310"/>
      <c r="U40" s="310"/>
      <c r="V40" s="310"/>
      <c r="W40" s="310"/>
      <c r="X40" s="1"/>
      <c r="Y40" s="297"/>
      <c r="Z40" s="297"/>
      <c r="AA40" s="1"/>
      <c r="AB40" s="297"/>
      <c r="AC40" s="297"/>
      <c r="AD40" s="300"/>
      <c r="AE40" s="301"/>
      <c r="AF40" s="1"/>
      <c r="AG40" s="297"/>
      <c r="AH40" s="297"/>
      <c r="AI40" s="297"/>
      <c r="AJ40" s="297"/>
      <c r="AK40" s="297"/>
      <c r="AL40" s="297"/>
      <c r="AM40" s="297"/>
      <c r="AN40" s="297"/>
      <c r="AO40" s="297"/>
      <c r="AP40" s="297"/>
      <c r="AQ40" s="297"/>
      <c r="AR40" s="297"/>
      <c r="AS40" s="297"/>
      <c r="AT40" s="297"/>
      <c r="AU40" s="297"/>
      <c r="AV40" s="297"/>
      <c r="AW40" s="1"/>
    </row>
    <row r="41">
      <c r="A41" s="1"/>
      <c r="B41" s="297"/>
      <c r="C41" s="1"/>
      <c r="D41" s="297"/>
      <c r="E41" s="297"/>
      <c r="F41" s="297"/>
      <c r="G41" s="297"/>
      <c r="H41" s="297"/>
      <c r="I41" s="297"/>
      <c r="J41" s="297"/>
      <c r="K41" s="1"/>
      <c r="L41" s="296"/>
      <c r="N41" s="296"/>
      <c r="O41" s="296"/>
      <c r="P41" s="296"/>
      <c r="Q41" s="296"/>
      <c r="R41" s="1"/>
      <c r="S41" s="310"/>
      <c r="T41" s="310"/>
      <c r="U41" s="310"/>
      <c r="V41" s="310"/>
      <c r="W41" s="310"/>
      <c r="X41" s="1"/>
      <c r="Y41" s="297"/>
      <c r="Z41" s="297"/>
      <c r="AA41" s="1"/>
      <c r="AB41" s="297"/>
      <c r="AC41" s="297"/>
      <c r="AD41" s="300"/>
      <c r="AE41" s="301"/>
      <c r="AF41" s="1"/>
      <c r="AG41" s="297"/>
      <c r="AH41" s="297"/>
      <c r="AI41" s="297"/>
      <c r="AJ41" s="297"/>
      <c r="AK41" s="297"/>
      <c r="AL41" s="297"/>
      <c r="AM41" s="297"/>
      <c r="AN41" s="297"/>
      <c r="AO41" s="297"/>
      <c r="AP41" s="297"/>
      <c r="AQ41" s="297"/>
      <c r="AR41" s="297"/>
      <c r="AS41" s="297"/>
      <c r="AT41" s="297"/>
      <c r="AU41" s="297"/>
      <c r="AV41" s="297"/>
      <c r="AW41" s="1"/>
    </row>
    <row r="42">
      <c r="A42" s="1"/>
      <c r="B42" s="297"/>
      <c r="C42" s="1"/>
      <c r="D42" s="297"/>
      <c r="E42" s="297"/>
      <c r="F42" s="297"/>
      <c r="G42" s="297"/>
      <c r="H42" s="297"/>
      <c r="I42" s="297"/>
      <c r="J42" s="297"/>
      <c r="K42" s="1"/>
      <c r="L42" s="296"/>
      <c r="N42" s="296"/>
      <c r="O42" s="296"/>
      <c r="P42" s="296"/>
      <c r="Q42" s="296"/>
      <c r="R42" s="1"/>
      <c r="S42" s="310"/>
      <c r="T42" s="310"/>
      <c r="U42" s="310"/>
      <c r="V42" s="310"/>
      <c r="W42" s="310"/>
      <c r="X42" s="1"/>
      <c r="Y42" s="297"/>
      <c r="Z42" s="297"/>
      <c r="AA42" s="1"/>
      <c r="AB42" s="297"/>
      <c r="AC42" s="297"/>
      <c r="AD42" s="300"/>
      <c r="AE42" s="301"/>
      <c r="AF42" s="1"/>
      <c r="AG42" s="297"/>
      <c r="AH42" s="297"/>
      <c r="AI42" s="297"/>
      <c r="AJ42" s="297"/>
      <c r="AK42" s="297"/>
      <c r="AL42" s="297"/>
      <c r="AM42" s="297"/>
      <c r="AN42" s="297"/>
      <c r="AO42" s="297"/>
      <c r="AP42" s="297"/>
      <c r="AQ42" s="297"/>
      <c r="AR42" s="297"/>
      <c r="AS42" s="297"/>
      <c r="AT42" s="297"/>
      <c r="AU42" s="297"/>
      <c r="AV42" s="297"/>
      <c r="AW42" s="1"/>
    </row>
    <row r="43">
      <c r="A43" s="1"/>
      <c r="B43" s="297"/>
      <c r="C43" s="1"/>
      <c r="D43" s="297"/>
      <c r="E43" s="297"/>
      <c r="F43" s="297"/>
      <c r="G43" s="297"/>
      <c r="H43" s="297"/>
      <c r="I43" s="297"/>
      <c r="J43" s="297"/>
      <c r="K43" s="1"/>
      <c r="L43" s="296"/>
      <c r="N43" s="296"/>
      <c r="O43" s="296"/>
      <c r="P43" s="296"/>
      <c r="Q43" s="296"/>
      <c r="R43" s="1"/>
      <c r="S43" s="310"/>
      <c r="T43" s="310"/>
      <c r="U43" s="310"/>
      <c r="V43" s="310"/>
      <c r="W43" s="310"/>
      <c r="X43" s="1"/>
      <c r="Y43" s="297"/>
      <c r="Z43" s="297"/>
      <c r="AA43" s="1"/>
      <c r="AB43" s="297"/>
      <c r="AC43" s="297"/>
      <c r="AD43" s="300"/>
      <c r="AE43" s="301"/>
      <c r="AF43" s="1"/>
      <c r="AG43" s="297"/>
      <c r="AH43" s="297"/>
      <c r="AI43" s="297"/>
      <c r="AJ43" s="297"/>
      <c r="AK43" s="297"/>
      <c r="AL43" s="297"/>
      <c r="AM43" s="297"/>
      <c r="AN43" s="297"/>
      <c r="AO43" s="297"/>
      <c r="AP43" s="297"/>
      <c r="AQ43" s="297"/>
      <c r="AR43" s="297"/>
      <c r="AS43" s="297"/>
      <c r="AT43" s="297"/>
      <c r="AU43" s="297"/>
      <c r="AV43" s="297"/>
      <c r="AW43" s="1"/>
    </row>
    <row r="44">
      <c r="A44" s="1"/>
      <c r="B44" s="297"/>
      <c r="C44" s="1"/>
      <c r="D44" s="297"/>
      <c r="E44" s="297"/>
      <c r="F44" s="297"/>
      <c r="G44" s="297"/>
      <c r="H44" s="297"/>
      <c r="I44" s="297"/>
      <c r="J44" s="297"/>
      <c r="K44" s="1"/>
      <c r="L44" s="296"/>
      <c r="N44" s="296"/>
      <c r="O44" s="296"/>
      <c r="P44" s="296"/>
      <c r="Q44" s="296"/>
      <c r="R44" s="1"/>
      <c r="S44" s="310"/>
      <c r="T44" s="310"/>
      <c r="U44" s="310"/>
      <c r="V44" s="310"/>
      <c r="W44" s="310"/>
      <c r="X44" s="1"/>
      <c r="Y44" s="297"/>
      <c r="Z44" s="297"/>
      <c r="AA44" s="1"/>
      <c r="AB44" s="297"/>
      <c r="AC44" s="297"/>
      <c r="AD44" s="300"/>
      <c r="AE44" s="301"/>
      <c r="AF44" s="1"/>
      <c r="AG44" s="297"/>
      <c r="AH44" s="297"/>
      <c r="AI44" s="297"/>
      <c r="AJ44" s="297"/>
      <c r="AK44" s="297"/>
      <c r="AL44" s="297"/>
      <c r="AM44" s="297"/>
      <c r="AN44" s="297"/>
      <c r="AO44" s="297"/>
      <c r="AP44" s="297"/>
      <c r="AQ44" s="297"/>
      <c r="AR44" s="297"/>
      <c r="AS44" s="297"/>
      <c r="AT44" s="297"/>
      <c r="AU44" s="297"/>
      <c r="AV44" s="297"/>
      <c r="AW44" s="1"/>
    </row>
    <row r="45">
      <c r="A45" s="1"/>
      <c r="B45" s="297"/>
      <c r="C45" s="1"/>
      <c r="D45" s="297"/>
      <c r="E45" s="297"/>
      <c r="F45" s="297"/>
      <c r="G45" s="297"/>
      <c r="H45" s="297"/>
      <c r="I45" s="297"/>
      <c r="J45" s="297"/>
      <c r="K45" s="1"/>
      <c r="L45" s="296"/>
      <c r="N45" s="296"/>
      <c r="O45" s="296"/>
      <c r="P45" s="296"/>
      <c r="Q45" s="296"/>
      <c r="R45" s="1"/>
      <c r="S45" s="310"/>
      <c r="T45" s="310"/>
      <c r="U45" s="310"/>
      <c r="V45" s="310"/>
      <c r="W45" s="310"/>
      <c r="X45" s="1"/>
      <c r="Y45" s="297"/>
      <c r="Z45" s="297"/>
      <c r="AA45" s="1"/>
      <c r="AB45" s="297"/>
      <c r="AC45" s="297"/>
      <c r="AD45" s="300"/>
      <c r="AE45" s="301"/>
      <c r="AF45" s="1"/>
      <c r="AG45" s="297"/>
      <c r="AH45" s="297"/>
      <c r="AI45" s="297"/>
      <c r="AJ45" s="297"/>
      <c r="AK45" s="297"/>
      <c r="AL45" s="297"/>
      <c r="AM45" s="297"/>
      <c r="AN45" s="297"/>
      <c r="AO45" s="297"/>
      <c r="AP45" s="297"/>
      <c r="AQ45" s="297"/>
      <c r="AR45" s="297"/>
      <c r="AS45" s="297"/>
      <c r="AT45" s="297"/>
      <c r="AU45" s="297"/>
      <c r="AV45" s="297"/>
      <c r="AW45" s="1"/>
    </row>
    <row r="46">
      <c r="A46" s="1"/>
      <c r="B46" s="297"/>
      <c r="C46" s="1"/>
      <c r="D46" s="297"/>
      <c r="E46" s="297"/>
      <c r="F46" s="297"/>
      <c r="G46" s="297"/>
      <c r="H46" s="297"/>
      <c r="I46" s="297"/>
      <c r="J46" s="297"/>
      <c r="K46" s="1"/>
      <c r="L46" s="296"/>
      <c r="N46" s="296"/>
      <c r="O46" s="296"/>
      <c r="P46" s="296"/>
      <c r="Q46" s="296"/>
      <c r="R46" s="1"/>
      <c r="S46" s="310"/>
      <c r="T46" s="310"/>
      <c r="U46" s="310"/>
      <c r="V46" s="310"/>
      <c r="W46" s="310"/>
      <c r="X46" s="1"/>
      <c r="Y46" s="297"/>
      <c r="Z46" s="297"/>
      <c r="AA46" s="1"/>
      <c r="AB46" s="297"/>
      <c r="AC46" s="297"/>
      <c r="AD46" s="300"/>
      <c r="AE46" s="301"/>
      <c r="AF46" s="1"/>
      <c r="AG46" s="297"/>
      <c r="AH46" s="297"/>
      <c r="AI46" s="297"/>
      <c r="AJ46" s="297"/>
      <c r="AK46" s="297"/>
      <c r="AL46" s="297"/>
      <c r="AM46" s="297"/>
      <c r="AN46" s="297"/>
      <c r="AO46" s="297"/>
      <c r="AP46" s="297"/>
      <c r="AQ46" s="297"/>
      <c r="AR46" s="297"/>
      <c r="AS46" s="297"/>
      <c r="AT46" s="297"/>
      <c r="AU46" s="297"/>
      <c r="AV46" s="297"/>
      <c r="AW46" s="1"/>
    </row>
    <row r="47">
      <c r="A47" s="1"/>
      <c r="B47" s="297"/>
      <c r="C47" s="1"/>
      <c r="D47" s="297"/>
      <c r="E47" s="297"/>
      <c r="F47" s="297"/>
      <c r="G47" s="297"/>
      <c r="H47" s="297"/>
      <c r="I47" s="297"/>
      <c r="J47" s="297"/>
      <c r="K47" s="1"/>
      <c r="L47" s="296"/>
      <c r="N47" s="296"/>
      <c r="O47" s="296"/>
      <c r="P47" s="296"/>
      <c r="Q47" s="296"/>
      <c r="R47" s="1"/>
      <c r="S47" s="310"/>
      <c r="T47" s="310"/>
      <c r="U47" s="310"/>
      <c r="V47" s="310"/>
      <c r="W47" s="310"/>
      <c r="X47" s="1"/>
      <c r="Y47" s="297"/>
      <c r="Z47" s="297"/>
      <c r="AA47" s="1"/>
      <c r="AB47" s="297"/>
      <c r="AC47" s="297"/>
      <c r="AD47" s="300"/>
      <c r="AE47" s="301"/>
      <c r="AF47" s="1"/>
      <c r="AG47" s="297"/>
      <c r="AH47" s="297"/>
      <c r="AI47" s="297"/>
      <c r="AJ47" s="297"/>
      <c r="AK47" s="297"/>
      <c r="AL47" s="297"/>
      <c r="AM47" s="297"/>
      <c r="AN47" s="297"/>
      <c r="AO47" s="297"/>
      <c r="AP47" s="297"/>
      <c r="AQ47" s="297"/>
      <c r="AR47" s="297"/>
      <c r="AS47" s="297"/>
      <c r="AT47" s="297"/>
      <c r="AU47" s="297"/>
      <c r="AV47" s="297"/>
      <c r="AW47" s="1"/>
    </row>
    <row r="48">
      <c r="A48" s="1"/>
      <c r="B48" s="297"/>
      <c r="C48" s="1"/>
      <c r="D48" s="297"/>
      <c r="E48" s="297"/>
      <c r="F48" s="297"/>
      <c r="G48" s="297"/>
      <c r="H48" s="297"/>
      <c r="I48" s="297"/>
      <c r="J48" s="297"/>
      <c r="K48" s="1"/>
      <c r="L48" s="296"/>
      <c r="N48" s="296"/>
      <c r="O48" s="296"/>
      <c r="P48" s="296"/>
      <c r="Q48" s="296"/>
      <c r="R48" s="1"/>
      <c r="S48" s="310"/>
      <c r="T48" s="310"/>
      <c r="U48" s="310"/>
      <c r="V48" s="310"/>
      <c r="W48" s="310"/>
      <c r="X48" s="1"/>
      <c r="Y48" s="297"/>
      <c r="Z48" s="297"/>
      <c r="AA48" s="1"/>
      <c r="AB48" s="297"/>
      <c r="AC48" s="297"/>
      <c r="AD48" s="300"/>
      <c r="AE48" s="297"/>
      <c r="AF48" s="1"/>
      <c r="AG48" s="297"/>
      <c r="AH48" s="297"/>
      <c r="AI48" s="297"/>
      <c r="AJ48" s="297"/>
      <c r="AK48" s="297"/>
      <c r="AL48" s="297"/>
      <c r="AM48" s="297"/>
      <c r="AN48" s="297"/>
      <c r="AO48" s="297"/>
      <c r="AP48" s="297"/>
      <c r="AQ48" s="297"/>
      <c r="AR48" s="297"/>
      <c r="AS48" s="297"/>
      <c r="AT48" s="297"/>
      <c r="AU48" s="297"/>
      <c r="AV48" s="297"/>
      <c r="AW48" s="1"/>
    </row>
    <row r="49">
      <c r="A49" s="1"/>
      <c r="B49" s="297"/>
      <c r="C49" s="1"/>
      <c r="D49" s="297"/>
      <c r="E49" s="297"/>
      <c r="F49" s="297"/>
      <c r="G49" s="297"/>
      <c r="H49" s="297"/>
      <c r="I49" s="297"/>
      <c r="J49" s="297"/>
      <c r="K49" s="1"/>
      <c r="L49" s="296"/>
      <c r="N49" s="296"/>
      <c r="O49" s="296"/>
      <c r="P49" s="296"/>
      <c r="Q49" s="296"/>
      <c r="R49" s="1"/>
      <c r="S49" s="310"/>
      <c r="T49" s="310"/>
      <c r="U49" s="310"/>
      <c r="V49" s="310"/>
      <c r="W49" s="310"/>
      <c r="X49" s="1"/>
      <c r="Y49" s="297"/>
      <c r="Z49" s="297"/>
      <c r="AA49" s="1"/>
      <c r="AB49" s="297"/>
      <c r="AC49" s="297"/>
      <c r="AD49" s="300"/>
      <c r="AE49" s="297"/>
      <c r="AF49" s="1"/>
      <c r="AG49" s="297"/>
      <c r="AH49" s="297"/>
      <c r="AI49" s="297"/>
      <c r="AJ49" s="297"/>
      <c r="AK49" s="297"/>
      <c r="AL49" s="297"/>
      <c r="AM49" s="297"/>
      <c r="AN49" s="297"/>
      <c r="AO49" s="297"/>
      <c r="AP49" s="297"/>
      <c r="AQ49" s="297"/>
      <c r="AR49" s="297"/>
      <c r="AS49" s="297"/>
      <c r="AT49" s="297"/>
      <c r="AU49" s="297"/>
      <c r="AV49" s="297"/>
      <c r="AW49" s="1"/>
    </row>
    <row r="50">
      <c r="A50" s="1"/>
      <c r="B50" s="297"/>
      <c r="C50" s="1"/>
      <c r="D50" s="297"/>
      <c r="E50" s="297"/>
      <c r="F50" s="297"/>
      <c r="G50" s="297"/>
      <c r="H50" s="297"/>
      <c r="I50" s="297"/>
      <c r="J50" s="297"/>
      <c r="K50" s="1"/>
      <c r="L50" s="296"/>
      <c r="N50" s="296"/>
      <c r="O50" s="296"/>
      <c r="P50" s="296"/>
      <c r="Q50" s="296"/>
      <c r="R50" s="1"/>
      <c r="S50" s="310"/>
      <c r="T50" s="310"/>
      <c r="U50" s="310"/>
      <c r="V50" s="310"/>
      <c r="W50" s="310"/>
      <c r="X50" s="1"/>
      <c r="Y50" s="297"/>
      <c r="Z50" s="297"/>
      <c r="AA50" s="1"/>
      <c r="AB50" s="297"/>
      <c r="AC50" s="297"/>
      <c r="AD50" s="300"/>
      <c r="AE50" s="297"/>
      <c r="AF50" s="1"/>
      <c r="AG50" s="297"/>
      <c r="AH50" s="297"/>
      <c r="AI50" s="297"/>
      <c r="AJ50" s="297"/>
      <c r="AK50" s="297"/>
      <c r="AL50" s="297"/>
      <c r="AM50" s="297"/>
      <c r="AN50" s="297"/>
      <c r="AO50" s="297"/>
      <c r="AP50" s="297"/>
      <c r="AQ50" s="297"/>
      <c r="AR50" s="297"/>
      <c r="AS50" s="297"/>
      <c r="AT50" s="297"/>
      <c r="AU50" s="297"/>
      <c r="AV50" s="297"/>
      <c r="AW50" s="1"/>
    </row>
    <row r="51">
      <c r="A51" s="1"/>
      <c r="B51" s="297"/>
      <c r="C51" s="1"/>
      <c r="D51" s="297"/>
      <c r="E51" s="297"/>
      <c r="F51" s="297"/>
      <c r="G51" s="297"/>
      <c r="H51" s="297"/>
      <c r="I51" s="297"/>
      <c r="J51" s="297"/>
      <c r="K51" s="1"/>
      <c r="L51" s="296"/>
      <c r="N51" s="296"/>
      <c r="O51" s="296"/>
      <c r="P51" s="296"/>
      <c r="Q51" s="296"/>
      <c r="R51" s="1"/>
      <c r="S51" s="310"/>
      <c r="T51" s="310"/>
      <c r="U51" s="310"/>
      <c r="V51" s="310"/>
      <c r="W51" s="310"/>
      <c r="X51" s="1"/>
      <c r="Y51" s="297"/>
      <c r="Z51" s="297"/>
      <c r="AA51" s="1"/>
      <c r="AB51" s="297"/>
      <c r="AC51" s="297"/>
      <c r="AD51" s="300"/>
      <c r="AE51" s="297"/>
      <c r="AF51" s="1"/>
      <c r="AG51" s="297"/>
      <c r="AH51" s="297"/>
      <c r="AI51" s="297"/>
      <c r="AJ51" s="297"/>
      <c r="AK51" s="297"/>
      <c r="AL51" s="297"/>
      <c r="AM51" s="297"/>
      <c r="AN51" s="297"/>
      <c r="AO51" s="297"/>
      <c r="AP51" s="297"/>
      <c r="AQ51" s="297"/>
      <c r="AR51" s="297"/>
      <c r="AS51" s="297"/>
      <c r="AT51" s="297"/>
      <c r="AU51" s="297"/>
      <c r="AV51" s="297"/>
      <c r="AW51" s="1"/>
    </row>
    <row r="52">
      <c r="A52" s="1"/>
      <c r="B52" s="297"/>
      <c r="C52" s="1"/>
      <c r="D52" s="297"/>
      <c r="E52" s="297"/>
      <c r="F52" s="297"/>
      <c r="G52" s="297"/>
      <c r="H52" s="297"/>
      <c r="I52" s="297"/>
      <c r="J52" s="297"/>
      <c r="K52" s="1"/>
      <c r="L52" s="296"/>
      <c r="N52" s="296"/>
      <c r="O52" s="296"/>
      <c r="P52" s="296"/>
      <c r="Q52" s="296"/>
      <c r="R52" s="1"/>
      <c r="S52" s="310"/>
      <c r="T52" s="310"/>
      <c r="U52" s="310"/>
      <c r="V52" s="310"/>
      <c r="W52" s="310"/>
      <c r="X52" s="1"/>
      <c r="Y52" s="297"/>
      <c r="Z52" s="297"/>
      <c r="AA52" s="1"/>
      <c r="AB52" s="297"/>
      <c r="AC52" s="297"/>
      <c r="AD52" s="300"/>
      <c r="AE52" s="297"/>
      <c r="AF52" s="1"/>
      <c r="AG52" s="297"/>
      <c r="AH52" s="297"/>
      <c r="AI52" s="297"/>
      <c r="AJ52" s="297"/>
      <c r="AK52" s="297"/>
      <c r="AL52" s="297"/>
      <c r="AM52" s="297"/>
      <c r="AN52" s="297"/>
      <c r="AO52" s="297"/>
      <c r="AP52" s="297"/>
      <c r="AQ52" s="297"/>
      <c r="AR52" s="297"/>
      <c r="AS52" s="297"/>
      <c r="AT52" s="297"/>
      <c r="AU52" s="297"/>
      <c r="AV52" s="297"/>
      <c r="AW52" s="1"/>
    </row>
    <row r="53">
      <c r="A53" s="1"/>
      <c r="B53" s="297"/>
      <c r="C53" s="1"/>
      <c r="D53" s="297"/>
      <c r="E53" s="297"/>
      <c r="F53" s="297"/>
      <c r="G53" s="297"/>
      <c r="H53" s="297"/>
      <c r="I53" s="297"/>
      <c r="J53" s="297"/>
      <c r="K53" s="1"/>
      <c r="L53" s="296"/>
      <c r="N53" s="296"/>
      <c r="O53" s="296"/>
      <c r="P53" s="296"/>
      <c r="Q53" s="296"/>
      <c r="R53" s="1"/>
      <c r="S53" s="310"/>
      <c r="T53" s="310"/>
      <c r="U53" s="310"/>
      <c r="V53" s="310"/>
      <c r="W53" s="310"/>
      <c r="X53" s="1"/>
      <c r="Y53" s="297"/>
      <c r="Z53" s="297"/>
      <c r="AA53" s="1"/>
      <c r="AB53" s="297"/>
      <c r="AC53" s="297"/>
      <c r="AD53" s="300"/>
      <c r="AE53" s="297"/>
      <c r="AF53" s="1"/>
      <c r="AG53" s="297"/>
      <c r="AH53" s="297"/>
      <c r="AI53" s="297"/>
      <c r="AJ53" s="297"/>
      <c r="AK53" s="297"/>
      <c r="AL53" s="297"/>
      <c r="AM53" s="297"/>
      <c r="AN53" s="297"/>
      <c r="AO53" s="297"/>
      <c r="AP53" s="297"/>
      <c r="AQ53" s="297"/>
      <c r="AR53" s="297"/>
      <c r="AS53" s="297"/>
      <c r="AT53" s="297"/>
      <c r="AU53" s="297"/>
      <c r="AV53" s="297"/>
      <c r="AW53" s="1"/>
    </row>
    <row r="54">
      <c r="A54" s="1"/>
      <c r="B54" s="297"/>
      <c r="C54" s="1"/>
      <c r="D54" s="297"/>
      <c r="E54" s="297"/>
      <c r="F54" s="297"/>
      <c r="G54" s="297"/>
      <c r="H54" s="297"/>
      <c r="I54" s="297"/>
      <c r="J54" s="297"/>
      <c r="K54" s="1"/>
      <c r="L54" s="296"/>
      <c r="N54" s="296"/>
      <c r="O54" s="296"/>
      <c r="P54" s="296"/>
      <c r="Q54" s="296"/>
      <c r="R54" s="1"/>
      <c r="S54" s="310"/>
      <c r="T54" s="310"/>
      <c r="U54" s="310"/>
      <c r="V54" s="310"/>
      <c r="W54" s="310"/>
      <c r="X54" s="1"/>
      <c r="Y54" s="297"/>
      <c r="Z54" s="297"/>
      <c r="AA54" s="1"/>
      <c r="AB54" s="297"/>
      <c r="AC54" s="297"/>
      <c r="AD54" s="300"/>
      <c r="AE54" s="297"/>
      <c r="AF54" s="1"/>
      <c r="AG54" s="297"/>
      <c r="AH54" s="297"/>
      <c r="AI54" s="297"/>
      <c r="AJ54" s="297"/>
      <c r="AK54" s="297"/>
      <c r="AL54" s="297"/>
      <c r="AM54" s="297"/>
      <c r="AN54" s="297"/>
      <c r="AO54" s="297"/>
      <c r="AP54" s="297"/>
      <c r="AQ54" s="297"/>
      <c r="AR54" s="297"/>
      <c r="AS54" s="297"/>
      <c r="AT54" s="297"/>
      <c r="AU54" s="297"/>
      <c r="AV54" s="297"/>
      <c r="AW54" s="1"/>
    </row>
    <row r="55">
      <c r="A55" s="1"/>
      <c r="B55" s="297"/>
      <c r="C55" s="1"/>
      <c r="D55" s="297"/>
      <c r="E55" s="297"/>
      <c r="F55" s="297"/>
      <c r="G55" s="297"/>
      <c r="H55" s="297"/>
      <c r="I55" s="297"/>
      <c r="J55" s="297"/>
      <c r="K55" s="1"/>
      <c r="L55" s="296"/>
      <c r="N55" s="296"/>
      <c r="O55" s="296"/>
      <c r="P55" s="296"/>
      <c r="Q55" s="296"/>
      <c r="R55" s="1"/>
      <c r="S55" s="310"/>
      <c r="T55" s="310"/>
      <c r="U55" s="310"/>
      <c r="V55" s="310"/>
      <c r="W55" s="310"/>
      <c r="X55" s="1"/>
      <c r="Y55" s="297"/>
      <c r="Z55" s="297"/>
      <c r="AA55" s="1"/>
      <c r="AB55" s="297"/>
      <c r="AC55" s="297"/>
      <c r="AD55" s="300"/>
      <c r="AE55" s="297"/>
      <c r="AF55" s="1"/>
      <c r="AG55" s="297"/>
      <c r="AH55" s="297"/>
      <c r="AI55" s="297"/>
      <c r="AJ55" s="297"/>
      <c r="AK55" s="297"/>
      <c r="AL55" s="297"/>
      <c r="AM55" s="297"/>
      <c r="AN55" s="297"/>
      <c r="AO55" s="297"/>
      <c r="AP55" s="297"/>
      <c r="AQ55" s="297"/>
      <c r="AR55" s="297"/>
      <c r="AS55" s="297"/>
      <c r="AT55" s="297"/>
      <c r="AU55" s="297"/>
      <c r="AV55" s="297"/>
      <c r="AW55" s="1"/>
    </row>
    <row r="56">
      <c r="A56" s="1"/>
      <c r="B56" s="297"/>
      <c r="C56" s="1"/>
      <c r="D56" s="297"/>
      <c r="E56" s="297"/>
      <c r="F56" s="297"/>
      <c r="G56" s="297"/>
      <c r="H56" s="297"/>
      <c r="I56" s="297"/>
      <c r="J56" s="297"/>
      <c r="K56" s="1"/>
      <c r="L56" s="296"/>
      <c r="N56" s="296"/>
      <c r="O56" s="296"/>
      <c r="P56" s="296"/>
      <c r="Q56" s="296"/>
      <c r="R56" s="1"/>
      <c r="S56" s="310"/>
      <c r="T56" s="310"/>
      <c r="U56" s="310"/>
      <c r="V56" s="310"/>
      <c r="W56" s="310"/>
      <c r="X56" s="1"/>
      <c r="Y56" s="297"/>
      <c r="Z56" s="297"/>
      <c r="AA56" s="1"/>
      <c r="AB56" s="297"/>
      <c r="AC56" s="297"/>
      <c r="AD56" s="300"/>
      <c r="AE56" s="297"/>
      <c r="AF56" s="1"/>
      <c r="AG56" s="297"/>
      <c r="AH56" s="297"/>
      <c r="AI56" s="297"/>
      <c r="AJ56" s="297"/>
      <c r="AK56" s="297"/>
      <c r="AL56" s="297"/>
      <c r="AM56" s="297"/>
      <c r="AN56" s="297"/>
      <c r="AO56" s="297"/>
      <c r="AP56" s="297"/>
      <c r="AQ56" s="297"/>
      <c r="AR56" s="297"/>
      <c r="AS56" s="297"/>
      <c r="AT56" s="297"/>
      <c r="AU56" s="297"/>
      <c r="AV56" s="297"/>
      <c r="AW56" s="1"/>
    </row>
    <row r="57">
      <c r="A57" s="1"/>
      <c r="B57" s="297"/>
      <c r="C57" s="1"/>
      <c r="D57" s="297"/>
      <c r="E57" s="297"/>
      <c r="F57" s="297"/>
      <c r="G57" s="297"/>
      <c r="H57" s="297"/>
      <c r="I57" s="297"/>
      <c r="J57" s="297"/>
      <c r="K57" s="1"/>
      <c r="L57" s="296"/>
      <c r="N57" s="296"/>
      <c r="O57" s="296"/>
      <c r="P57" s="296"/>
      <c r="Q57" s="296"/>
      <c r="R57" s="1"/>
      <c r="S57" s="310"/>
      <c r="T57" s="310"/>
      <c r="U57" s="310"/>
      <c r="V57" s="310"/>
      <c r="W57" s="310"/>
      <c r="X57" s="1"/>
      <c r="Y57" s="297"/>
      <c r="Z57" s="297"/>
      <c r="AA57" s="1"/>
      <c r="AB57" s="297"/>
      <c r="AC57" s="297"/>
      <c r="AD57" s="300"/>
      <c r="AE57" s="297"/>
      <c r="AF57" s="1"/>
      <c r="AG57" s="297"/>
      <c r="AH57" s="297"/>
      <c r="AI57" s="297"/>
      <c r="AJ57" s="297"/>
      <c r="AK57" s="297"/>
      <c r="AL57" s="297"/>
      <c r="AM57" s="297"/>
      <c r="AN57" s="297"/>
      <c r="AO57" s="297"/>
      <c r="AP57" s="297"/>
      <c r="AQ57" s="297"/>
      <c r="AR57" s="297"/>
      <c r="AS57" s="297"/>
      <c r="AT57" s="297"/>
      <c r="AU57" s="297"/>
      <c r="AV57" s="297"/>
      <c r="AW57" s="1"/>
    </row>
    <row r="58">
      <c r="A58" s="1"/>
      <c r="B58" s="297"/>
      <c r="C58" s="1"/>
      <c r="D58" s="297"/>
      <c r="E58" s="297"/>
      <c r="F58" s="297"/>
      <c r="G58" s="297"/>
      <c r="H58" s="297"/>
      <c r="I58" s="297"/>
      <c r="J58" s="297"/>
      <c r="K58" s="1"/>
      <c r="L58" s="296"/>
      <c r="N58" s="296"/>
      <c r="O58" s="296"/>
      <c r="P58" s="296"/>
      <c r="Q58" s="296"/>
      <c r="R58" s="1"/>
      <c r="S58" s="310"/>
      <c r="T58" s="310"/>
      <c r="U58" s="310"/>
      <c r="V58" s="310"/>
      <c r="W58" s="310"/>
      <c r="X58" s="1"/>
      <c r="Y58" s="297"/>
      <c r="Z58" s="297"/>
      <c r="AA58" s="1"/>
      <c r="AB58" s="297"/>
      <c r="AC58" s="297"/>
      <c r="AD58" s="300"/>
      <c r="AE58" s="297"/>
      <c r="AF58" s="1"/>
      <c r="AG58" s="297"/>
      <c r="AH58" s="297"/>
      <c r="AI58" s="297"/>
      <c r="AJ58" s="297"/>
      <c r="AK58" s="297"/>
      <c r="AL58" s="297"/>
      <c r="AM58" s="297"/>
      <c r="AN58" s="297"/>
      <c r="AO58" s="297"/>
      <c r="AP58" s="297"/>
      <c r="AQ58" s="297"/>
      <c r="AR58" s="297"/>
      <c r="AS58" s="297"/>
      <c r="AT58" s="297"/>
      <c r="AU58" s="297"/>
      <c r="AV58" s="297"/>
      <c r="AW58" s="1"/>
    </row>
    <row r="59">
      <c r="A59" s="1"/>
      <c r="B59" s="297"/>
      <c r="C59" s="1"/>
      <c r="D59" s="297"/>
      <c r="E59" s="297"/>
      <c r="F59" s="297"/>
      <c r="G59" s="297"/>
      <c r="H59" s="297"/>
      <c r="I59" s="297"/>
      <c r="J59" s="297"/>
      <c r="K59" s="1"/>
      <c r="L59" s="296"/>
      <c r="N59" s="296"/>
      <c r="O59" s="296"/>
      <c r="P59" s="296"/>
      <c r="Q59" s="296"/>
      <c r="R59" s="1"/>
      <c r="S59" s="310"/>
      <c r="T59" s="310"/>
      <c r="U59" s="310"/>
      <c r="V59" s="310"/>
      <c r="W59" s="310"/>
      <c r="X59" s="1"/>
      <c r="Y59" s="297"/>
      <c r="Z59" s="297"/>
      <c r="AA59" s="1"/>
      <c r="AB59" s="297"/>
      <c r="AC59" s="297"/>
      <c r="AD59" s="300"/>
      <c r="AE59" s="297"/>
      <c r="AF59" s="1"/>
      <c r="AG59" s="297"/>
      <c r="AH59" s="297"/>
      <c r="AI59" s="297"/>
      <c r="AJ59" s="297"/>
      <c r="AK59" s="297"/>
      <c r="AL59" s="297"/>
      <c r="AM59" s="297"/>
      <c r="AN59" s="297"/>
      <c r="AO59" s="297"/>
      <c r="AP59" s="297"/>
      <c r="AQ59" s="297"/>
      <c r="AR59" s="297"/>
      <c r="AS59" s="297"/>
      <c r="AT59" s="297"/>
      <c r="AU59" s="297"/>
      <c r="AV59" s="297"/>
      <c r="AW59" s="1"/>
    </row>
    <row r="60">
      <c r="A60" s="1"/>
      <c r="B60" s="297"/>
      <c r="C60" s="1"/>
      <c r="D60" s="297"/>
      <c r="E60" s="297"/>
      <c r="F60" s="297"/>
      <c r="G60" s="297"/>
      <c r="H60" s="297"/>
      <c r="I60" s="297"/>
      <c r="J60" s="297"/>
      <c r="K60" s="1"/>
      <c r="L60" s="296"/>
      <c r="N60" s="296"/>
      <c r="O60" s="296"/>
      <c r="P60" s="296"/>
      <c r="Q60" s="296"/>
      <c r="R60" s="1"/>
      <c r="S60" s="310"/>
      <c r="T60" s="310"/>
      <c r="U60" s="310"/>
      <c r="V60" s="310"/>
      <c r="W60" s="310"/>
      <c r="X60" s="1"/>
      <c r="Y60" s="297"/>
      <c r="Z60" s="297"/>
      <c r="AA60" s="1"/>
      <c r="AB60" s="297"/>
      <c r="AC60" s="297"/>
      <c r="AD60" s="300"/>
      <c r="AE60" s="297"/>
      <c r="AF60" s="1"/>
      <c r="AG60" s="297"/>
      <c r="AH60" s="297"/>
      <c r="AI60" s="297"/>
      <c r="AJ60" s="297"/>
      <c r="AK60" s="297"/>
      <c r="AL60" s="297"/>
      <c r="AM60" s="297"/>
      <c r="AN60" s="297"/>
      <c r="AO60" s="297"/>
      <c r="AP60" s="297"/>
      <c r="AQ60" s="297"/>
      <c r="AR60" s="297"/>
      <c r="AS60" s="297"/>
      <c r="AT60" s="297"/>
      <c r="AU60" s="297"/>
      <c r="AV60" s="297"/>
      <c r="AW60" s="1"/>
    </row>
    <row r="61">
      <c r="A61" s="1"/>
      <c r="B61" s="297"/>
      <c r="C61" s="1"/>
      <c r="D61" s="297"/>
      <c r="E61" s="297"/>
      <c r="F61" s="297"/>
      <c r="G61" s="297"/>
      <c r="H61" s="297"/>
      <c r="I61" s="297"/>
      <c r="J61" s="297"/>
      <c r="K61" s="1"/>
      <c r="L61" s="296"/>
      <c r="N61" s="296"/>
      <c r="O61" s="296"/>
      <c r="P61" s="296"/>
      <c r="Q61" s="296"/>
      <c r="R61" s="1"/>
      <c r="S61" s="310"/>
      <c r="T61" s="310"/>
      <c r="U61" s="310"/>
      <c r="V61" s="310"/>
      <c r="W61" s="310"/>
      <c r="X61" s="1"/>
      <c r="Y61" s="297"/>
      <c r="Z61" s="297"/>
      <c r="AA61" s="1"/>
      <c r="AB61" s="297"/>
      <c r="AC61" s="297"/>
      <c r="AD61" s="297"/>
      <c r="AE61" s="297"/>
      <c r="AF61" s="1"/>
      <c r="AG61" s="297"/>
      <c r="AH61" s="297"/>
      <c r="AI61" s="297"/>
      <c r="AJ61" s="297"/>
      <c r="AK61" s="297"/>
      <c r="AL61" s="297"/>
      <c r="AM61" s="297"/>
      <c r="AN61" s="297"/>
      <c r="AO61" s="297"/>
      <c r="AP61" s="297"/>
      <c r="AQ61" s="297"/>
      <c r="AR61" s="297"/>
      <c r="AS61" s="297"/>
      <c r="AT61" s="297"/>
      <c r="AU61" s="297"/>
      <c r="AV61" s="297"/>
      <c r="AW61" s="1"/>
    </row>
    <row r="62">
      <c r="A62" s="1"/>
      <c r="B62" s="297"/>
      <c r="C62" s="1"/>
      <c r="D62" s="297"/>
      <c r="E62" s="297"/>
      <c r="F62" s="297"/>
      <c r="G62" s="297"/>
      <c r="H62" s="297"/>
      <c r="I62" s="297"/>
      <c r="J62" s="297"/>
      <c r="K62" s="1"/>
      <c r="L62" s="296"/>
      <c r="N62" s="296"/>
      <c r="O62" s="296"/>
      <c r="P62" s="296"/>
      <c r="Q62" s="296"/>
      <c r="R62" s="1"/>
      <c r="S62" s="310"/>
      <c r="T62" s="310"/>
      <c r="U62" s="310"/>
      <c r="V62" s="310"/>
      <c r="W62" s="310"/>
      <c r="X62" s="1"/>
      <c r="Y62" s="297"/>
      <c r="Z62" s="297"/>
      <c r="AA62" s="1"/>
      <c r="AB62" s="297"/>
      <c r="AC62" s="297"/>
      <c r="AD62" s="297"/>
      <c r="AE62" s="297"/>
      <c r="AF62" s="1"/>
      <c r="AG62" s="297"/>
      <c r="AH62" s="297"/>
      <c r="AI62" s="297"/>
      <c r="AJ62" s="297"/>
      <c r="AK62" s="297"/>
      <c r="AL62" s="297"/>
      <c r="AM62" s="297"/>
      <c r="AN62" s="297"/>
      <c r="AO62" s="297"/>
      <c r="AP62" s="297"/>
      <c r="AQ62" s="297"/>
      <c r="AR62" s="297"/>
      <c r="AS62" s="297"/>
      <c r="AT62" s="297"/>
      <c r="AU62" s="297"/>
      <c r="AV62" s="297"/>
      <c r="AW62" s="1"/>
    </row>
    <row r="63">
      <c r="A63" s="1"/>
      <c r="B63" s="297"/>
      <c r="C63" s="1"/>
      <c r="D63" s="297"/>
      <c r="E63" s="297"/>
      <c r="F63" s="297"/>
      <c r="G63" s="297"/>
      <c r="H63" s="297"/>
      <c r="I63" s="297"/>
      <c r="J63" s="297"/>
      <c r="K63" s="1"/>
      <c r="L63" s="296"/>
      <c r="N63" s="296"/>
      <c r="O63" s="296"/>
      <c r="P63" s="296"/>
      <c r="Q63" s="296"/>
      <c r="R63" s="1"/>
      <c r="S63" s="310"/>
      <c r="T63" s="310"/>
      <c r="U63" s="310"/>
      <c r="V63" s="310"/>
      <c r="W63" s="310"/>
      <c r="X63" s="1"/>
      <c r="Y63" s="297"/>
      <c r="Z63" s="297"/>
      <c r="AA63" s="1"/>
      <c r="AB63" s="297"/>
      <c r="AC63" s="297"/>
      <c r="AD63" s="297"/>
      <c r="AE63" s="297"/>
      <c r="AF63" s="1"/>
      <c r="AG63" s="297"/>
      <c r="AH63" s="297"/>
      <c r="AI63" s="297"/>
      <c r="AJ63" s="297"/>
      <c r="AK63" s="297"/>
      <c r="AL63" s="297"/>
      <c r="AM63" s="297"/>
      <c r="AN63" s="297"/>
      <c r="AO63" s="297"/>
      <c r="AP63" s="297"/>
      <c r="AQ63" s="297"/>
      <c r="AR63" s="297"/>
      <c r="AS63" s="297"/>
      <c r="AT63" s="297"/>
      <c r="AU63" s="297"/>
      <c r="AV63" s="297"/>
      <c r="AW63" s="1"/>
    </row>
    <row r="64">
      <c r="A64" s="1"/>
      <c r="B64" s="297"/>
      <c r="C64" s="1"/>
      <c r="D64" s="297"/>
      <c r="E64" s="297"/>
      <c r="F64" s="297"/>
      <c r="G64" s="297"/>
      <c r="H64" s="297"/>
      <c r="I64" s="297"/>
      <c r="J64" s="297"/>
      <c r="K64" s="1"/>
      <c r="L64" s="296"/>
      <c r="N64" s="296"/>
      <c r="O64" s="296"/>
      <c r="P64" s="296"/>
      <c r="Q64" s="296"/>
      <c r="R64" s="1"/>
      <c r="S64" s="310"/>
      <c r="T64" s="310"/>
      <c r="U64" s="310"/>
      <c r="V64" s="310"/>
      <c r="W64" s="310"/>
      <c r="X64" s="1"/>
      <c r="Y64" s="297"/>
      <c r="Z64" s="297"/>
      <c r="AA64" s="1"/>
      <c r="AB64" s="297"/>
      <c r="AC64" s="297"/>
      <c r="AD64" s="297"/>
      <c r="AE64" s="297"/>
      <c r="AF64" s="1"/>
      <c r="AG64" s="297"/>
      <c r="AH64" s="297"/>
      <c r="AI64" s="297"/>
      <c r="AJ64" s="297"/>
      <c r="AK64" s="297"/>
      <c r="AL64" s="297"/>
      <c r="AM64" s="297"/>
      <c r="AN64" s="297"/>
      <c r="AO64" s="297"/>
      <c r="AP64" s="297"/>
      <c r="AQ64" s="297"/>
      <c r="AR64" s="297"/>
      <c r="AS64" s="297"/>
      <c r="AT64" s="297"/>
      <c r="AU64" s="297"/>
      <c r="AV64" s="297"/>
      <c r="AW64" s="1"/>
    </row>
    <row r="65">
      <c r="A65" s="1"/>
      <c r="B65" s="297"/>
      <c r="C65" s="1"/>
      <c r="D65" s="297"/>
      <c r="E65" s="297"/>
      <c r="F65" s="297"/>
      <c r="G65" s="297"/>
      <c r="H65" s="297"/>
      <c r="I65" s="297"/>
      <c r="J65" s="297"/>
      <c r="K65" s="1"/>
      <c r="L65" s="296"/>
      <c r="N65" s="296"/>
      <c r="O65" s="296"/>
      <c r="P65" s="296"/>
      <c r="Q65" s="296"/>
      <c r="R65" s="1"/>
      <c r="S65" s="310"/>
      <c r="T65" s="310"/>
      <c r="U65" s="310"/>
      <c r="V65" s="310"/>
      <c r="W65" s="310"/>
      <c r="X65" s="1"/>
      <c r="Y65" s="297"/>
      <c r="Z65" s="297"/>
      <c r="AA65" s="1"/>
      <c r="AB65" s="297"/>
      <c r="AC65" s="297"/>
      <c r="AD65" s="297"/>
      <c r="AE65" s="297"/>
      <c r="AF65" s="1"/>
      <c r="AG65" s="297"/>
      <c r="AH65" s="297"/>
      <c r="AI65" s="297"/>
      <c r="AJ65" s="297"/>
      <c r="AK65" s="297"/>
      <c r="AL65" s="297"/>
      <c r="AM65" s="297"/>
      <c r="AN65" s="297"/>
      <c r="AO65" s="297"/>
      <c r="AP65" s="297"/>
      <c r="AQ65" s="297"/>
      <c r="AR65" s="297"/>
      <c r="AS65" s="297"/>
      <c r="AT65" s="297"/>
      <c r="AU65" s="297"/>
      <c r="AV65" s="297"/>
      <c r="AW65" s="1"/>
    </row>
    <row r="66">
      <c r="A66" s="1"/>
      <c r="B66" s="297"/>
      <c r="C66" s="1"/>
      <c r="D66" s="297"/>
      <c r="E66" s="297"/>
      <c r="F66" s="297"/>
      <c r="G66" s="297"/>
      <c r="H66" s="297"/>
      <c r="I66" s="297"/>
      <c r="J66" s="297"/>
      <c r="K66" s="1"/>
      <c r="L66" s="296"/>
      <c r="N66" s="296"/>
      <c r="O66" s="296"/>
      <c r="P66" s="296"/>
      <c r="Q66" s="296"/>
      <c r="R66" s="1"/>
      <c r="S66" s="310"/>
      <c r="T66" s="310"/>
      <c r="U66" s="310"/>
      <c r="V66" s="310"/>
      <c r="W66" s="310"/>
      <c r="X66" s="1"/>
      <c r="Y66" s="297"/>
      <c r="Z66" s="297"/>
      <c r="AA66" s="1"/>
      <c r="AB66" s="297"/>
      <c r="AC66" s="297"/>
      <c r="AD66" s="297"/>
      <c r="AE66" s="297"/>
      <c r="AF66" s="1"/>
      <c r="AG66" s="297"/>
      <c r="AH66" s="297"/>
      <c r="AI66" s="297"/>
      <c r="AJ66" s="297"/>
      <c r="AK66" s="297"/>
      <c r="AL66" s="297"/>
      <c r="AM66" s="297"/>
      <c r="AN66" s="297"/>
      <c r="AO66" s="297"/>
      <c r="AP66" s="297"/>
      <c r="AQ66" s="297"/>
      <c r="AR66" s="297"/>
      <c r="AS66" s="297"/>
      <c r="AT66" s="297"/>
      <c r="AU66" s="297"/>
      <c r="AV66" s="297"/>
      <c r="AW66" s="1"/>
    </row>
    <row r="67">
      <c r="A67" s="1"/>
      <c r="B67" s="297"/>
      <c r="C67" s="1"/>
      <c r="D67" s="297"/>
      <c r="E67" s="297"/>
      <c r="F67" s="297"/>
      <c r="G67" s="297"/>
      <c r="H67" s="297"/>
      <c r="I67" s="297"/>
      <c r="J67" s="297"/>
      <c r="K67" s="1"/>
      <c r="L67" s="296"/>
      <c r="N67" s="296"/>
      <c r="O67" s="296"/>
      <c r="P67" s="296"/>
      <c r="Q67" s="296"/>
      <c r="R67" s="1"/>
      <c r="S67" s="310"/>
      <c r="T67" s="310"/>
      <c r="U67" s="310"/>
      <c r="V67" s="310"/>
      <c r="W67" s="310"/>
      <c r="X67" s="1"/>
      <c r="Y67" s="297"/>
      <c r="Z67" s="297"/>
      <c r="AA67" s="1"/>
      <c r="AB67" s="297"/>
      <c r="AC67" s="297"/>
      <c r="AD67" s="297"/>
      <c r="AE67" s="297"/>
      <c r="AF67" s="1"/>
      <c r="AG67" s="297"/>
      <c r="AH67" s="297"/>
      <c r="AI67" s="297"/>
      <c r="AJ67" s="297"/>
      <c r="AK67" s="297"/>
      <c r="AL67" s="297"/>
      <c r="AM67" s="297"/>
      <c r="AN67" s="297"/>
      <c r="AO67" s="297"/>
      <c r="AP67" s="297"/>
      <c r="AQ67" s="297"/>
      <c r="AR67" s="297"/>
      <c r="AS67" s="297"/>
      <c r="AT67" s="297"/>
      <c r="AU67" s="297"/>
      <c r="AV67" s="297"/>
      <c r="AW67" s="1"/>
    </row>
    <row r="68">
      <c r="A68" s="1"/>
      <c r="B68" s="297"/>
      <c r="C68" s="1"/>
      <c r="D68" s="297"/>
      <c r="E68" s="297"/>
      <c r="F68" s="297"/>
      <c r="G68" s="297"/>
      <c r="H68" s="297"/>
      <c r="I68" s="297"/>
      <c r="J68" s="297"/>
      <c r="K68" s="1"/>
      <c r="L68" s="296"/>
      <c r="N68" s="296"/>
      <c r="O68" s="296"/>
      <c r="P68" s="296"/>
      <c r="Q68" s="296"/>
      <c r="R68" s="1"/>
      <c r="S68" s="310"/>
      <c r="T68" s="310"/>
      <c r="U68" s="310"/>
      <c r="V68" s="310"/>
      <c r="W68" s="310"/>
      <c r="X68" s="1"/>
      <c r="Y68" s="297"/>
      <c r="Z68" s="297"/>
      <c r="AA68" s="1"/>
      <c r="AB68" s="297"/>
      <c r="AC68" s="297"/>
      <c r="AD68" s="297"/>
      <c r="AE68" s="297"/>
      <c r="AF68" s="1"/>
      <c r="AG68" s="297"/>
      <c r="AH68" s="297"/>
      <c r="AI68" s="297"/>
      <c r="AJ68" s="297"/>
      <c r="AK68" s="297"/>
      <c r="AL68" s="297"/>
      <c r="AM68" s="297"/>
      <c r="AN68" s="297"/>
      <c r="AO68" s="297"/>
      <c r="AP68" s="297"/>
      <c r="AQ68" s="297"/>
      <c r="AR68" s="297"/>
      <c r="AS68" s="297"/>
      <c r="AT68" s="297"/>
      <c r="AU68" s="297"/>
      <c r="AV68" s="297"/>
      <c r="AW68" s="1"/>
    </row>
    <row r="69">
      <c r="A69" s="1"/>
      <c r="B69" s="297"/>
      <c r="C69" s="1"/>
      <c r="D69" s="297"/>
      <c r="E69" s="297"/>
      <c r="F69" s="297"/>
      <c r="G69" s="297"/>
      <c r="H69" s="297"/>
      <c r="I69" s="297"/>
      <c r="J69" s="297"/>
      <c r="K69" s="1"/>
      <c r="L69" s="296"/>
      <c r="N69" s="296"/>
      <c r="O69" s="296"/>
      <c r="P69" s="296"/>
      <c r="Q69" s="296"/>
      <c r="R69" s="1"/>
      <c r="S69" s="310"/>
      <c r="T69" s="310"/>
      <c r="U69" s="310"/>
      <c r="V69" s="310"/>
      <c r="W69" s="310"/>
      <c r="X69" s="1"/>
      <c r="Y69" s="297"/>
      <c r="Z69" s="297"/>
      <c r="AA69" s="1"/>
      <c r="AB69" s="297"/>
      <c r="AC69" s="297"/>
      <c r="AD69" s="297"/>
      <c r="AE69" s="297"/>
      <c r="AF69" s="1"/>
      <c r="AG69" s="297"/>
      <c r="AH69" s="297"/>
      <c r="AI69" s="297"/>
      <c r="AJ69" s="297"/>
      <c r="AK69" s="297"/>
      <c r="AL69" s="297"/>
      <c r="AM69" s="297"/>
      <c r="AN69" s="297"/>
      <c r="AO69" s="297"/>
      <c r="AP69" s="297"/>
      <c r="AQ69" s="297"/>
      <c r="AR69" s="297"/>
      <c r="AS69" s="297"/>
      <c r="AT69" s="297"/>
      <c r="AU69" s="297"/>
      <c r="AV69" s="297"/>
      <c r="AW69" s="1"/>
    </row>
    <row r="70">
      <c r="A70" s="1"/>
      <c r="B70" s="297"/>
      <c r="C70" s="1"/>
      <c r="D70" s="297"/>
      <c r="E70" s="297"/>
      <c r="F70" s="297"/>
      <c r="G70" s="297"/>
      <c r="H70" s="297"/>
      <c r="I70" s="297"/>
      <c r="J70" s="297"/>
      <c r="K70" s="1"/>
      <c r="L70" s="296"/>
      <c r="N70" s="296"/>
      <c r="O70" s="296"/>
      <c r="P70" s="296"/>
      <c r="Q70" s="296"/>
      <c r="R70" s="1"/>
      <c r="S70" s="310"/>
      <c r="T70" s="310"/>
      <c r="U70" s="310"/>
      <c r="V70" s="310"/>
      <c r="W70" s="310"/>
      <c r="X70" s="1"/>
      <c r="Y70" s="297"/>
      <c r="Z70" s="297"/>
      <c r="AA70" s="1"/>
      <c r="AB70" s="297"/>
      <c r="AC70" s="297"/>
      <c r="AD70" s="297"/>
      <c r="AE70" s="297"/>
      <c r="AF70" s="1"/>
      <c r="AG70" s="297"/>
      <c r="AH70" s="297"/>
      <c r="AI70" s="297"/>
      <c r="AJ70" s="297"/>
      <c r="AK70" s="297"/>
      <c r="AL70" s="297"/>
      <c r="AM70" s="297"/>
      <c r="AN70" s="297"/>
      <c r="AO70" s="297"/>
      <c r="AP70" s="297"/>
      <c r="AQ70" s="297"/>
      <c r="AR70" s="297"/>
      <c r="AS70" s="297"/>
      <c r="AT70" s="297"/>
      <c r="AU70" s="297"/>
      <c r="AV70" s="297"/>
      <c r="AW70" s="1"/>
    </row>
    <row r="71">
      <c r="A71" s="1"/>
      <c r="B71" s="297"/>
      <c r="C71" s="1"/>
      <c r="D71" s="297"/>
      <c r="E71" s="297"/>
      <c r="F71" s="297"/>
      <c r="G71" s="297"/>
      <c r="H71" s="297"/>
      <c r="I71" s="297"/>
      <c r="J71" s="297"/>
      <c r="K71" s="1"/>
      <c r="L71" s="296"/>
      <c r="N71" s="296"/>
      <c r="O71" s="296"/>
      <c r="P71" s="296"/>
      <c r="Q71" s="296"/>
      <c r="R71" s="1"/>
      <c r="S71" s="310"/>
      <c r="T71" s="310"/>
      <c r="U71" s="310"/>
      <c r="V71" s="310"/>
      <c r="W71" s="310"/>
      <c r="X71" s="1"/>
      <c r="Y71" s="297"/>
      <c r="Z71" s="297"/>
      <c r="AA71" s="1"/>
      <c r="AB71" s="297"/>
      <c r="AC71" s="297"/>
      <c r="AD71" s="297"/>
      <c r="AE71" s="297"/>
      <c r="AF71" s="1"/>
      <c r="AG71" s="297"/>
      <c r="AH71" s="297"/>
      <c r="AI71" s="297"/>
      <c r="AJ71" s="297"/>
      <c r="AK71" s="297"/>
      <c r="AL71" s="297"/>
      <c r="AM71" s="297"/>
      <c r="AN71" s="297"/>
      <c r="AO71" s="297"/>
      <c r="AP71" s="297"/>
      <c r="AQ71" s="297"/>
      <c r="AR71" s="297"/>
      <c r="AS71" s="297"/>
      <c r="AT71" s="297"/>
      <c r="AU71" s="297"/>
      <c r="AV71" s="297"/>
      <c r="AW71" s="1"/>
    </row>
    <row r="72">
      <c r="A72" s="1"/>
      <c r="B72" s="297"/>
      <c r="C72" s="1"/>
      <c r="D72" s="297"/>
      <c r="E72" s="297"/>
      <c r="F72" s="297"/>
      <c r="G72" s="297"/>
      <c r="H72" s="297"/>
      <c r="I72" s="297"/>
      <c r="J72" s="297"/>
      <c r="K72" s="1"/>
      <c r="L72" s="296"/>
      <c r="N72" s="296"/>
      <c r="O72" s="296"/>
      <c r="P72" s="296"/>
      <c r="Q72" s="296"/>
      <c r="R72" s="1"/>
      <c r="S72" s="310"/>
      <c r="T72" s="310"/>
      <c r="U72" s="310"/>
      <c r="V72" s="310"/>
      <c r="W72" s="310"/>
      <c r="X72" s="1"/>
      <c r="Y72" s="297"/>
      <c r="Z72" s="297"/>
      <c r="AA72" s="1"/>
      <c r="AB72" s="297"/>
      <c r="AC72" s="297"/>
      <c r="AD72" s="297"/>
      <c r="AE72" s="297"/>
      <c r="AF72" s="1"/>
      <c r="AG72" s="297"/>
      <c r="AH72" s="297"/>
      <c r="AI72" s="297"/>
      <c r="AJ72" s="297"/>
      <c r="AK72" s="297"/>
      <c r="AL72" s="297"/>
      <c r="AM72" s="297"/>
      <c r="AN72" s="297"/>
      <c r="AO72" s="297"/>
      <c r="AP72" s="297"/>
      <c r="AQ72" s="297"/>
      <c r="AR72" s="297"/>
      <c r="AS72" s="297"/>
      <c r="AT72" s="297"/>
      <c r="AU72" s="297"/>
      <c r="AV72" s="297"/>
      <c r="AW72" s="1"/>
    </row>
    <row r="73">
      <c r="A73" s="1"/>
      <c r="B73" s="297"/>
      <c r="C73" s="1"/>
      <c r="D73" s="297"/>
      <c r="E73" s="297"/>
      <c r="F73" s="297"/>
      <c r="G73" s="297"/>
      <c r="H73" s="297"/>
      <c r="I73" s="297"/>
      <c r="J73" s="297"/>
      <c r="K73" s="1"/>
      <c r="L73" s="296"/>
      <c r="N73" s="296"/>
      <c r="O73" s="296"/>
      <c r="P73" s="296"/>
      <c r="Q73" s="296"/>
      <c r="R73" s="1"/>
      <c r="S73" s="310"/>
      <c r="T73" s="310"/>
      <c r="U73" s="310"/>
      <c r="V73" s="310"/>
      <c r="W73" s="310"/>
      <c r="X73" s="1"/>
      <c r="Y73" s="297"/>
      <c r="Z73" s="297"/>
      <c r="AA73" s="1"/>
      <c r="AB73" s="297"/>
      <c r="AC73" s="297"/>
      <c r="AD73" s="297"/>
      <c r="AE73" s="297"/>
      <c r="AF73" s="1"/>
      <c r="AG73" s="297"/>
      <c r="AH73" s="297"/>
      <c r="AI73" s="297"/>
      <c r="AJ73" s="297"/>
      <c r="AK73" s="297"/>
      <c r="AL73" s="297"/>
      <c r="AM73" s="297"/>
      <c r="AN73" s="297"/>
      <c r="AO73" s="297"/>
      <c r="AP73" s="297"/>
      <c r="AQ73" s="297"/>
      <c r="AR73" s="297"/>
      <c r="AS73" s="297"/>
      <c r="AT73" s="297"/>
      <c r="AU73" s="297"/>
      <c r="AV73" s="297"/>
      <c r="AW73" s="1"/>
    </row>
    <row r="74">
      <c r="A74" s="1"/>
      <c r="B74" s="297"/>
      <c r="C74" s="1"/>
      <c r="D74" s="297"/>
      <c r="E74" s="297"/>
      <c r="F74" s="297"/>
      <c r="G74" s="297"/>
      <c r="H74" s="297"/>
      <c r="I74" s="297"/>
      <c r="J74" s="297"/>
      <c r="K74" s="1"/>
      <c r="L74" s="296"/>
      <c r="N74" s="296"/>
      <c r="O74" s="296"/>
      <c r="P74" s="296"/>
      <c r="Q74" s="296"/>
      <c r="R74" s="1"/>
      <c r="S74" s="310"/>
      <c r="T74" s="310"/>
      <c r="U74" s="310"/>
      <c r="V74" s="310"/>
      <c r="W74" s="310"/>
      <c r="X74" s="1"/>
      <c r="Y74" s="297"/>
      <c r="Z74" s="297"/>
      <c r="AA74" s="1"/>
      <c r="AB74" s="297"/>
      <c r="AC74" s="297"/>
      <c r="AD74" s="297"/>
      <c r="AE74" s="297"/>
      <c r="AF74" s="1"/>
      <c r="AG74" s="297"/>
      <c r="AH74" s="297"/>
      <c r="AI74" s="297"/>
      <c r="AJ74" s="297"/>
      <c r="AK74" s="297"/>
      <c r="AL74" s="297"/>
      <c r="AM74" s="297"/>
      <c r="AN74" s="297"/>
      <c r="AO74" s="297"/>
      <c r="AP74" s="297"/>
      <c r="AQ74" s="297"/>
      <c r="AR74" s="297"/>
      <c r="AS74" s="297"/>
      <c r="AT74" s="297"/>
      <c r="AU74" s="297"/>
      <c r="AV74" s="297"/>
      <c r="AW74" s="1"/>
    </row>
    <row r="75">
      <c r="A75" s="1"/>
      <c r="B75" s="297"/>
      <c r="C75" s="1"/>
      <c r="D75" s="297"/>
      <c r="E75" s="297"/>
      <c r="F75" s="297"/>
      <c r="G75" s="297"/>
      <c r="H75" s="297"/>
      <c r="I75" s="297"/>
      <c r="J75" s="297"/>
      <c r="K75" s="1"/>
      <c r="L75" s="296"/>
      <c r="N75" s="296"/>
      <c r="O75" s="296"/>
      <c r="P75" s="296"/>
      <c r="Q75" s="296"/>
      <c r="R75" s="1"/>
      <c r="S75" s="310"/>
      <c r="T75" s="310"/>
      <c r="U75" s="310"/>
      <c r="V75" s="310"/>
      <c r="W75" s="310"/>
      <c r="X75" s="1"/>
      <c r="Y75" s="297"/>
      <c r="Z75" s="297"/>
      <c r="AA75" s="1"/>
      <c r="AB75" s="297"/>
      <c r="AC75" s="297"/>
      <c r="AD75" s="297"/>
      <c r="AE75" s="297"/>
      <c r="AF75" s="1"/>
      <c r="AG75" s="297"/>
      <c r="AH75" s="297"/>
      <c r="AI75" s="297"/>
      <c r="AJ75" s="297"/>
      <c r="AK75" s="297"/>
      <c r="AL75" s="297"/>
      <c r="AM75" s="297"/>
      <c r="AN75" s="297"/>
      <c r="AO75" s="297"/>
      <c r="AP75" s="297"/>
      <c r="AQ75" s="297"/>
      <c r="AR75" s="297"/>
      <c r="AS75" s="297"/>
      <c r="AT75" s="297"/>
      <c r="AU75" s="297"/>
      <c r="AV75" s="297"/>
      <c r="AW75" s="1"/>
    </row>
    <row r="76">
      <c r="A76" s="1"/>
      <c r="B76" s="297"/>
      <c r="C76" s="1"/>
      <c r="D76" s="297"/>
      <c r="E76" s="297"/>
      <c r="F76" s="297"/>
      <c r="G76" s="297"/>
      <c r="H76" s="297"/>
      <c r="I76" s="297"/>
      <c r="J76" s="297"/>
      <c r="K76" s="1"/>
      <c r="L76" s="296"/>
      <c r="N76" s="296"/>
      <c r="O76" s="296"/>
      <c r="P76" s="296"/>
      <c r="Q76" s="296"/>
      <c r="R76" s="1"/>
      <c r="S76" s="310"/>
      <c r="T76" s="310"/>
      <c r="U76" s="310"/>
      <c r="V76" s="310"/>
      <c r="W76" s="310"/>
      <c r="X76" s="1"/>
      <c r="Y76" s="297"/>
      <c r="Z76" s="297"/>
      <c r="AA76" s="1"/>
      <c r="AB76" s="297"/>
      <c r="AC76" s="297"/>
      <c r="AD76" s="297"/>
      <c r="AE76" s="297"/>
      <c r="AF76" s="1"/>
      <c r="AG76" s="297"/>
      <c r="AH76" s="297"/>
      <c r="AI76" s="297"/>
      <c r="AJ76" s="297"/>
      <c r="AK76" s="297"/>
      <c r="AL76" s="297"/>
      <c r="AM76" s="297"/>
      <c r="AN76" s="297"/>
      <c r="AO76" s="297"/>
      <c r="AP76" s="297"/>
      <c r="AQ76" s="297"/>
      <c r="AR76" s="297"/>
      <c r="AS76" s="297"/>
      <c r="AT76" s="297"/>
      <c r="AU76" s="297"/>
      <c r="AV76" s="297"/>
      <c r="AW76" s="1"/>
    </row>
    <row r="77">
      <c r="A77" s="1"/>
      <c r="B77" s="297"/>
      <c r="C77" s="1"/>
      <c r="D77" s="297"/>
      <c r="E77" s="297"/>
      <c r="F77" s="297"/>
      <c r="G77" s="297"/>
      <c r="H77" s="297"/>
      <c r="I77" s="297"/>
      <c r="J77" s="297"/>
      <c r="K77" s="1"/>
      <c r="L77" s="296"/>
      <c r="N77" s="296"/>
      <c r="O77" s="296"/>
      <c r="P77" s="296"/>
      <c r="Q77" s="296"/>
      <c r="R77" s="1"/>
      <c r="S77" s="310"/>
      <c r="T77" s="310"/>
      <c r="U77" s="310"/>
      <c r="V77" s="310"/>
      <c r="W77" s="310"/>
      <c r="X77" s="1"/>
      <c r="Y77" s="297"/>
      <c r="Z77" s="297"/>
      <c r="AA77" s="1"/>
      <c r="AB77" s="297"/>
      <c r="AC77" s="297"/>
      <c r="AD77" s="297"/>
      <c r="AE77" s="297"/>
      <c r="AF77" s="1"/>
      <c r="AG77" s="297"/>
      <c r="AH77" s="297"/>
      <c r="AI77" s="297"/>
      <c r="AJ77" s="297"/>
      <c r="AK77" s="297"/>
      <c r="AL77" s="297"/>
      <c r="AM77" s="297"/>
      <c r="AN77" s="297"/>
      <c r="AO77" s="297"/>
      <c r="AP77" s="297"/>
      <c r="AQ77" s="297"/>
      <c r="AR77" s="297"/>
      <c r="AS77" s="297"/>
      <c r="AT77" s="297"/>
      <c r="AU77" s="297"/>
      <c r="AV77" s="297"/>
      <c r="AW77" s="1"/>
    </row>
    <row r="78">
      <c r="A78" s="1"/>
      <c r="B78" s="297"/>
      <c r="C78" s="1"/>
      <c r="D78" s="297"/>
      <c r="E78" s="297"/>
      <c r="F78" s="297"/>
      <c r="G78" s="297"/>
      <c r="H78" s="297"/>
      <c r="I78" s="297"/>
      <c r="J78" s="297"/>
      <c r="K78" s="1"/>
      <c r="L78" s="296"/>
      <c r="N78" s="296"/>
      <c r="O78" s="296"/>
      <c r="P78" s="296"/>
      <c r="Q78" s="296"/>
      <c r="R78" s="1"/>
      <c r="S78" s="310"/>
      <c r="T78" s="310"/>
      <c r="U78" s="310"/>
      <c r="V78" s="310"/>
      <c r="W78" s="310"/>
      <c r="X78" s="1"/>
      <c r="Y78" s="297"/>
      <c r="Z78" s="297"/>
      <c r="AA78" s="1"/>
      <c r="AB78" s="297"/>
      <c r="AC78" s="297"/>
      <c r="AD78" s="297"/>
      <c r="AE78" s="297"/>
      <c r="AF78" s="1"/>
      <c r="AG78" s="297"/>
      <c r="AH78" s="297"/>
      <c r="AI78" s="297"/>
      <c r="AJ78" s="297"/>
      <c r="AK78" s="297"/>
      <c r="AL78" s="297"/>
      <c r="AM78" s="297"/>
      <c r="AN78" s="297"/>
      <c r="AO78" s="297"/>
      <c r="AP78" s="297"/>
      <c r="AQ78" s="297"/>
      <c r="AR78" s="297"/>
      <c r="AS78" s="297"/>
      <c r="AT78" s="297"/>
      <c r="AU78" s="297"/>
      <c r="AV78" s="297"/>
      <c r="AW78" s="1"/>
    </row>
    <row r="79">
      <c r="A79" s="1"/>
      <c r="B79" s="297"/>
      <c r="C79" s="1"/>
      <c r="D79" s="297"/>
      <c r="E79" s="297"/>
      <c r="F79" s="297"/>
      <c r="G79" s="297"/>
      <c r="H79" s="297"/>
      <c r="I79" s="297"/>
      <c r="J79" s="297"/>
      <c r="K79" s="1"/>
      <c r="L79" s="296"/>
      <c r="N79" s="296"/>
      <c r="O79" s="296"/>
      <c r="P79" s="296"/>
      <c r="Q79" s="296"/>
      <c r="R79" s="1"/>
      <c r="S79" s="310"/>
      <c r="T79" s="310"/>
      <c r="U79" s="310"/>
      <c r="V79" s="310"/>
      <c r="W79" s="310"/>
      <c r="X79" s="1"/>
      <c r="Y79" s="297"/>
      <c r="Z79" s="297"/>
      <c r="AA79" s="1"/>
      <c r="AB79" s="297"/>
      <c r="AC79" s="297"/>
      <c r="AD79" s="297"/>
      <c r="AE79" s="297"/>
      <c r="AF79" s="1"/>
      <c r="AG79" s="297"/>
      <c r="AH79" s="297"/>
      <c r="AI79" s="297"/>
      <c r="AJ79" s="297"/>
      <c r="AK79" s="297"/>
      <c r="AL79" s="297"/>
      <c r="AM79" s="297"/>
      <c r="AN79" s="297"/>
      <c r="AO79" s="297"/>
      <c r="AP79" s="297"/>
      <c r="AQ79" s="297"/>
      <c r="AR79" s="297"/>
      <c r="AS79" s="297"/>
      <c r="AT79" s="297"/>
      <c r="AU79" s="297"/>
      <c r="AV79" s="297"/>
      <c r="AW79" s="1"/>
    </row>
    <row r="80">
      <c r="A80" s="1"/>
      <c r="B80" s="297"/>
      <c r="C80" s="1"/>
      <c r="D80" s="297"/>
      <c r="E80" s="297"/>
      <c r="F80" s="297"/>
      <c r="G80" s="297"/>
      <c r="H80" s="297"/>
      <c r="I80" s="297"/>
      <c r="J80" s="297"/>
      <c r="K80" s="1"/>
      <c r="L80" s="296"/>
      <c r="N80" s="296"/>
      <c r="O80" s="296"/>
      <c r="P80" s="296"/>
      <c r="Q80" s="296"/>
      <c r="R80" s="1"/>
      <c r="S80" s="310"/>
      <c r="T80" s="310"/>
      <c r="U80" s="310"/>
      <c r="V80" s="310"/>
      <c r="W80" s="310"/>
      <c r="X80" s="1"/>
      <c r="Y80" s="297"/>
      <c r="Z80" s="297"/>
      <c r="AA80" s="1"/>
      <c r="AB80" s="297"/>
      <c r="AC80" s="297"/>
      <c r="AD80" s="297"/>
      <c r="AE80" s="297"/>
      <c r="AF80" s="1"/>
      <c r="AG80" s="297"/>
      <c r="AH80" s="297"/>
      <c r="AI80" s="297"/>
      <c r="AJ80" s="297"/>
      <c r="AK80" s="297"/>
      <c r="AL80" s="297"/>
      <c r="AM80" s="297"/>
      <c r="AN80" s="297"/>
      <c r="AO80" s="297"/>
      <c r="AP80" s="297"/>
      <c r="AQ80" s="297"/>
      <c r="AR80" s="297"/>
      <c r="AS80" s="297"/>
      <c r="AT80" s="297"/>
      <c r="AU80" s="297"/>
      <c r="AV80" s="297"/>
      <c r="AW80" s="1"/>
    </row>
    <row r="81">
      <c r="A81" s="1"/>
      <c r="B81" s="297"/>
      <c r="C81" s="1"/>
      <c r="D81" s="297"/>
      <c r="E81" s="297"/>
      <c r="F81" s="297"/>
      <c r="G81" s="297"/>
      <c r="H81" s="297"/>
      <c r="I81" s="297"/>
      <c r="J81" s="297"/>
      <c r="K81" s="1"/>
      <c r="L81" s="296"/>
      <c r="N81" s="296"/>
      <c r="O81" s="296"/>
      <c r="P81" s="296"/>
      <c r="Q81" s="296"/>
      <c r="R81" s="1"/>
      <c r="S81" s="310"/>
      <c r="T81" s="310"/>
      <c r="U81" s="310"/>
      <c r="V81" s="310"/>
      <c r="W81" s="310"/>
      <c r="X81" s="1"/>
      <c r="Y81" s="297"/>
      <c r="Z81" s="297"/>
      <c r="AA81" s="1"/>
      <c r="AB81" s="297"/>
      <c r="AC81" s="297"/>
      <c r="AD81" s="297"/>
      <c r="AE81" s="297"/>
      <c r="AF81" s="1"/>
      <c r="AG81" s="297"/>
      <c r="AH81" s="297"/>
      <c r="AI81" s="297"/>
      <c r="AJ81" s="297"/>
      <c r="AK81" s="297"/>
      <c r="AL81" s="297"/>
      <c r="AM81" s="297"/>
      <c r="AN81" s="297"/>
      <c r="AO81" s="297"/>
      <c r="AP81" s="297"/>
      <c r="AQ81" s="297"/>
      <c r="AR81" s="297"/>
      <c r="AS81" s="297"/>
      <c r="AT81" s="297"/>
      <c r="AU81" s="297"/>
      <c r="AV81" s="297"/>
      <c r="AW81" s="1"/>
    </row>
    <row r="82">
      <c r="A82" s="1"/>
      <c r="B82" s="297"/>
      <c r="C82" s="1"/>
      <c r="D82" s="297"/>
      <c r="E82" s="297"/>
      <c r="F82" s="297"/>
      <c r="G82" s="297"/>
      <c r="H82" s="297"/>
      <c r="I82" s="297"/>
      <c r="J82" s="297"/>
      <c r="K82" s="1"/>
      <c r="L82" s="296"/>
      <c r="N82" s="296"/>
      <c r="O82" s="296"/>
      <c r="P82" s="296"/>
      <c r="Q82" s="296"/>
      <c r="R82" s="1"/>
      <c r="S82" s="310"/>
      <c r="T82" s="310"/>
      <c r="U82" s="310"/>
      <c r="V82" s="310"/>
      <c r="W82" s="310"/>
      <c r="X82" s="1"/>
      <c r="Y82" s="297"/>
      <c r="Z82" s="297"/>
      <c r="AA82" s="1"/>
      <c r="AB82" s="297"/>
      <c r="AC82" s="297"/>
      <c r="AD82" s="297"/>
      <c r="AE82" s="297"/>
      <c r="AF82" s="1"/>
      <c r="AG82" s="297"/>
      <c r="AH82" s="297"/>
      <c r="AI82" s="297"/>
      <c r="AJ82" s="297"/>
      <c r="AK82" s="297"/>
      <c r="AL82" s="297"/>
      <c r="AM82" s="297"/>
      <c r="AN82" s="297"/>
      <c r="AO82" s="297"/>
      <c r="AP82" s="297"/>
      <c r="AQ82" s="297"/>
      <c r="AR82" s="297"/>
      <c r="AS82" s="297"/>
      <c r="AT82" s="297"/>
      <c r="AU82" s="297"/>
      <c r="AV82" s="297"/>
      <c r="AW82" s="1"/>
    </row>
    <row r="83">
      <c r="A83" s="1"/>
      <c r="B83" s="297"/>
      <c r="C83" s="1"/>
      <c r="D83" s="297"/>
      <c r="E83" s="297"/>
      <c r="F83" s="297"/>
      <c r="G83" s="297"/>
      <c r="H83" s="297"/>
      <c r="I83" s="297"/>
      <c r="J83" s="297"/>
      <c r="K83" s="1"/>
      <c r="L83" s="296"/>
      <c r="N83" s="296"/>
      <c r="O83" s="296"/>
      <c r="P83" s="296"/>
      <c r="Q83" s="296"/>
      <c r="R83" s="1"/>
      <c r="S83" s="310"/>
      <c r="T83" s="310"/>
      <c r="U83" s="310"/>
      <c r="V83" s="310"/>
      <c r="W83" s="310"/>
      <c r="X83" s="1"/>
      <c r="Y83" s="297"/>
      <c r="Z83" s="297"/>
      <c r="AA83" s="1"/>
      <c r="AB83" s="297"/>
      <c r="AC83" s="297"/>
      <c r="AD83" s="297"/>
      <c r="AE83" s="297"/>
      <c r="AF83" s="1"/>
      <c r="AG83" s="297"/>
      <c r="AH83" s="297"/>
      <c r="AI83" s="297"/>
      <c r="AJ83" s="297"/>
      <c r="AK83" s="297"/>
      <c r="AL83" s="297"/>
      <c r="AM83" s="297"/>
      <c r="AN83" s="297"/>
      <c r="AO83" s="297"/>
      <c r="AP83" s="297"/>
      <c r="AQ83" s="297"/>
      <c r="AR83" s="297"/>
      <c r="AS83" s="297"/>
      <c r="AT83" s="297"/>
      <c r="AU83" s="297"/>
      <c r="AV83" s="297"/>
      <c r="AW83" s="1"/>
    </row>
    <row r="84">
      <c r="A84" s="1"/>
      <c r="B84" s="297"/>
      <c r="C84" s="1"/>
      <c r="D84" s="297"/>
      <c r="E84" s="297"/>
      <c r="F84" s="297"/>
      <c r="G84" s="297"/>
      <c r="H84" s="297"/>
      <c r="I84" s="297"/>
      <c r="J84" s="297"/>
      <c r="K84" s="1"/>
      <c r="L84" s="296"/>
      <c r="N84" s="296"/>
      <c r="O84" s="296"/>
      <c r="P84" s="296"/>
      <c r="Q84" s="296"/>
      <c r="R84" s="1"/>
      <c r="S84" s="310"/>
      <c r="T84" s="310"/>
      <c r="U84" s="310"/>
      <c r="V84" s="310"/>
      <c r="W84" s="310"/>
      <c r="X84" s="1"/>
      <c r="Y84" s="297"/>
      <c r="Z84" s="297"/>
      <c r="AA84" s="1"/>
      <c r="AB84" s="297"/>
      <c r="AC84" s="297"/>
      <c r="AD84" s="297"/>
      <c r="AE84" s="297"/>
      <c r="AF84" s="1"/>
      <c r="AG84" s="297"/>
      <c r="AH84" s="297"/>
      <c r="AI84" s="297"/>
      <c r="AJ84" s="297"/>
      <c r="AK84" s="297"/>
      <c r="AL84" s="297"/>
      <c r="AM84" s="297"/>
      <c r="AN84" s="297"/>
      <c r="AO84" s="297"/>
      <c r="AP84" s="297"/>
      <c r="AQ84" s="297"/>
      <c r="AR84" s="297"/>
      <c r="AS84" s="297"/>
      <c r="AT84" s="297"/>
      <c r="AU84" s="297"/>
      <c r="AV84" s="297"/>
      <c r="AW84" s="1"/>
    </row>
    <row r="85">
      <c r="A85" s="1"/>
      <c r="B85" s="297"/>
      <c r="C85" s="1"/>
      <c r="D85" s="297"/>
      <c r="E85" s="297"/>
      <c r="F85" s="297"/>
      <c r="G85" s="297"/>
      <c r="H85" s="297"/>
      <c r="I85" s="297"/>
      <c r="J85" s="297"/>
      <c r="K85" s="1"/>
      <c r="L85" s="296"/>
      <c r="N85" s="296"/>
      <c r="O85" s="296"/>
      <c r="P85" s="296"/>
      <c r="Q85" s="296"/>
      <c r="R85" s="1"/>
      <c r="S85" s="310"/>
      <c r="T85" s="310"/>
      <c r="U85" s="310"/>
      <c r="V85" s="310"/>
      <c r="W85" s="310"/>
      <c r="X85" s="1"/>
      <c r="Y85" s="297"/>
      <c r="Z85" s="297"/>
      <c r="AA85" s="1"/>
      <c r="AB85" s="297"/>
      <c r="AC85" s="297"/>
      <c r="AD85" s="297"/>
      <c r="AE85" s="297"/>
      <c r="AF85" s="1"/>
      <c r="AG85" s="297"/>
      <c r="AH85" s="297"/>
      <c r="AI85" s="297"/>
      <c r="AJ85" s="297"/>
      <c r="AK85" s="297"/>
      <c r="AL85" s="297"/>
      <c r="AM85" s="297"/>
      <c r="AN85" s="297"/>
      <c r="AO85" s="297"/>
      <c r="AP85" s="297"/>
      <c r="AQ85" s="297"/>
      <c r="AR85" s="297"/>
      <c r="AS85" s="297"/>
      <c r="AT85" s="297"/>
      <c r="AU85" s="297"/>
      <c r="AV85" s="297"/>
      <c r="AW85" s="1"/>
    </row>
    <row r="86">
      <c r="A86" s="1"/>
      <c r="B86" s="297"/>
      <c r="C86" s="1"/>
      <c r="D86" s="297"/>
      <c r="E86" s="297"/>
      <c r="F86" s="297"/>
      <c r="G86" s="297"/>
      <c r="H86" s="297"/>
      <c r="I86" s="297"/>
      <c r="J86" s="297"/>
      <c r="K86" s="1"/>
      <c r="L86" s="296"/>
      <c r="N86" s="296"/>
      <c r="O86" s="296"/>
      <c r="P86" s="296"/>
      <c r="Q86" s="296"/>
      <c r="R86" s="1"/>
      <c r="S86" s="310"/>
      <c r="T86" s="310"/>
      <c r="U86" s="310"/>
      <c r="V86" s="310"/>
      <c r="W86" s="310"/>
      <c r="X86" s="1"/>
      <c r="Y86" s="297"/>
      <c r="Z86" s="297"/>
      <c r="AA86" s="1"/>
      <c r="AB86" s="297"/>
      <c r="AC86" s="297"/>
      <c r="AD86" s="297"/>
      <c r="AE86" s="297"/>
      <c r="AF86" s="1"/>
      <c r="AG86" s="297"/>
      <c r="AH86" s="297"/>
      <c r="AI86" s="297"/>
      <c r="AJ86" s="297"/>
      <c r="AK86" s="297"/>
      <c r="AL86" s="297"/>
      <c r="AM86" s="297"/>
      <c r="AN86" s="297"/>
      <c r="AO86" s="297"/>
      <c r="AP86" s="297"/>
      <c r="AQ86" s="297"/>
      <c r="AR86" s="297"/>
      <c r="AS86" s="297"/>
      <c r="AT86" s="297"/>
      <c r="AU86" s="297"/>
      <c r="AV86" s="297"/>
      <c r="AW86" s="1"/>
    </row>
    <row r="87">
      <c r="A87" s="1"/>
      <c r="B87" s="297"/>
      <c r="C87" s="1"/>
      <c r="D87" s="297"/>
      <c r="E87" s="297"/>
      <c r="F87" s="297"/>
      <c r="G87" s="297"/>
      <c r="H87" s="297"/>
      <c r="I87" s="297"/>
      <c r="J87" s="297"/>
      <c r="K87" s="1"/>
      <c r="L87" s="296"/>
      <c r="N87" s="296"/>
      <c r="O87" s="296"/>
      <c r="P87" s="296"/>
      <c r="Q87" s="296"/>
      <c r="R87" s="1"/>
      <c r="S87" s="310"/>
      <c r="T87" s="310"/>
      <c r="U87" s="310"/>
      <c r="V87" s="310"/>
      <c r="W87" s="310"/>
      <c r="X87" s="1"/>
      <c r="Y87" s="297"/>
      <c r="Z87" s="297"/>
      <c r="AA87" s="1"/>
      <c r="AB87" s="297"/>
      <c r="AC87" s="297"/>
      <c r="AD87" s="297"/>
      <c r="AE87" s="297"/>
      <c r="AF87" s="1"/>
      <c r="AG87" s="297"/>
      <c r="AH87" s="297"/>
      <c r="AI87" s="297"/>
      <c r="AJ87" s="297"/>
      <c r="AK87" s="297"/>
      <c r="AL87" s="297"/>
      <c r="AM87" s="297"/>
      <c r="AN87" s="297"/>
      <c r="AO87" s="297"/>
      <c r="AP87" s="297"/>
      <c r="AQ87" s="297"/>
      <c r="AR87" s="297"/>
      <c r="AS87" s="297"/>
      <c r="AT87" s="297"/>
      <c r="AU87" s="297"/>
      <c r="AV87" s="297"/>
      <c r="AW87" s="1"/>
    </row>
    <row r="88">
      <c r="A88" s="1"/>
      <c r="B88" s="297"/>
      <c r="C88" s="1"/>
      <c r="D88" s="297"/>
      <c r="E88" s="297"/>
      <c r="F88" s="297"/>
      <c r="G88" s="297"/>
      <c r="H88" s="297"/>
      <c r="I88" s="297"/>
      <c r="J88" s="297"/>
      <c r="K88" s="1"/>
      <c r="L88" s="296"/>
      <c r="N88" s="296"/>
      <c r="O88" s="296"/>
      <c r="P88" s="296"/>
      <c r="Q88" s="296"/>
      <c r="R88" s="1"/>
      <c r="S88" s="310"/>
      <c r="T88" s="310"/>
      <c r="U88" s="310"/>
      <c r="V88" s="310"/>
      <c r="W88" s="310"/>
      <c r="X88" s="1"/>
      <c r="Y88" s="297"/>
      <c r="Z88" s="297"/>
      <c r="AA88" s="1"/>
      <c r="AB88" s="297"/>
      <c r="AC88" s="297"/>
      <c r="AD88" s="297"/>
      <c r="AE88" s="297"/>
      <c r="AF88" s="1"/>
      <c r="AG88" s="297"/>
      <c r="AH88" s="297"/>
      <c r="AI88" s="297"/>
      <c r="AJ88" s="297"/>
      <c r="AK88" s="297"/>
      <c r="AL88" s="297"/>
      <c r="AM88" s="297"/>
      <c r="AN88" s="297"/>
      <c r="AO88" s="297"/>
      <c r="AP88" s="297"/>
      <c r="AQ88" s="297"/>
      <c r="AR88" s="297"/>
      <c r="AS88" s="297"/>
      <c r="AT88" s="297"/>
      <c r="AU88" s="297"/>
      <c r="AV88" s="297"/>
      <c r="AW88" s="1"/>
    </row>
    <row r="89">
      <c r="A89" s="1"/>
      <c r="B89" s="297"/>
      <c r="C89" s="1"/>
      <c r="D89" s="297"/>
      <c r="E89" s="297"/>
      <c r="F89" s="297"/>
      <c r="G89" s="297"/>
      <c r="H89" s="297"/>
      <c r="I89" s="297"/>
      <c r="J89" s="297"/>
      <c r="K89" s="1"/>
      <c r="L89" s="296"/>
      <c r="N89" s="296"/>
      <c r="O89" s="296"/>
      <c r="P89" s="296"/>
      <c r="Q89" s="296"/>
      <c r="R89" s="1"/>
      <c r="S89" s="310"/>
      <c r="T89" s="310"/>
      <c r="U89" s="310"/>
      <c r="V89" s="310"/>
      <c r="W89" s="310"/>
      <c r="X89" s="1"/>
      <c r="Y89" s="297"/>
      <c r="Z89" s="297"/>
      <c r="AA89" s="1"/>
      <c r="AB89" s="297"/>
      <c r="AC89" s="297"/>
      <c r="AD89" s="297"/>
      <c r="AE89" s="297"/>
      <c r="AF89" s="1"/>
      <c r="AG89" s="297"/>
      <c r="AH89" s="297"/>
      <c r="AI89" s="297"/>
      <c r="AJ89" s="297"/>
      <c r="AK89" s="297"/>
      <c r="AL89" s="297"/>
      <c r="AM89" s="297"/>
      <c r="AN89" s="297"/>
      <c r="AO89" s="297"/>
      <c r="AP89" s="297"/>
      <c r="AQ89" s="297"/>
      <c r="AR89" s="297"/>
      <c r="AS89" s="297"/>
      <c r="AT89" s="297"/>
      <c r="AU89" s="297"/>
      <c r="AV89" s="297"/>
      <c r="AW89" s="1"/>
    </row>
    <row r="90">
      <c r="A90" s="1"/>
      <c r="B90" s="297"/>
      <c r="C90" s="1"/>
      <c r="D90" s="297"/>
      <c r="E90" s="297"/>
      <c r="F90" s="297"/>
      <c r="G90" s="297"/>
      <c r="H90" s="297"/>
      <c r="I90" s="297"/>
      <c r="J90" s="297"/>
      <c r="K90" s="1"/>
      <c r="L90" s="296"/>
      <c r="N90" s="296"/>
      <c r="O90" s="296"/>
      <c r="P90" s="296"/>
      <c r="Q90" s="296"/>
      <c r="R90" s="1"/>
      <c r="S90" s="310"/>
      <c r="T90" s="310"/>
      <c r="U90" s="310"/>
      <c r="V90" s="310"/>
      <c r="W90" s="310"/>
      <c r="X90" s="1"/>
      <c r="Y90" s="297"/>
      <c r="Z90" s="297"/>
      <c r="AA90" s="1"/>
      <c r="AB90" s="297"/>
      <c r="AC90" s="297"/>
      <c r="AD90" s="297"/>
      <c r="AE90" s="297"/>
      <c r="AF90" s="1"/>
      <c r="AG90" s="297"/>
      <c r="AH90" s="297"/>
      <c r="AI90" s="297"/>
      <c r="AJ90" s="297"/>
      <c r="AK90" s="297"/>
      <c r="AL90" s="297"/>
      <c r="AM90" s="297"/>
      <c r="AN90" s="297"/>
      <c r="AO90" s="297"/>
      <c r="AP90" s="297"/>
      <c r="AQ90" s="297"/>
      <c r="AR90" s="297"/>
      <c r="AS90" s="297"/>
      <c r="AT90" s="297"/>
      <c r="AU90" s="297"/>
      <c r="AV90" s="297"/>
      <c r="AW90" s="1"/>
    </row>
    <row r="91">
      <c r="A91" s="1"/>
      <c r="B91" s="297"/>
      <c r="C91" s="1"/>
      <c r="D91" s="297"/>
      <c r="E91" s="297"/>
      <c r="F91" s="297"/>
      <c r="G91" s="297"/>
      <c r="H91" s="297"/>
      <c r="I91" s="297"/>
      <c r="J91" s="297"/>
      <c r="K91" s="1"/>
      <c r="L91" s="296"/>
      <c r="N91" s="296"/>
      <c r="O91" s="296"/>
      <c r="P91" s="296"/>
      <c r="Q91" s="296"/>
      <c r="R91" s="1"/>
      <c r="S91" s="310"/>
      <c r="T91" s="310"/>
      <c r="U91" s="310"/>
      <c r="V91" s="310"/>
      <c r="W91" s="310"/>
      <c r="X91" s="1"/>
      <c r="Y91" s="297"/>
      <c r="Z91" s="297"/>
      <c r="AA91" s="1"/>
      <c r="AB91" s="297"/>
      <c r="AC91" s="297"/>
      <c r="AD91" s="297"/>
      <c r="AE91" s="297"/>
      <c r="AF91" s="1"/>
      <c r="AG91" s="297"/>
      <c r="AH91" s="297"/>
      <c r="AI91" s="297"/>
      <c r="AJ91" s="297"/>
      <c r="AK91" s="297"/>
      <c r="AL91" s="297"/>
      <c r="AM91" s="297"/>
      <c r="AN91" s="297"/>
      <c r="AO91" s="297"/>
      <c r="AP91" s="297"/>
      <c r="AQ91" s="297"/>
      <c r="AR91" s="297"/>
      <c r="AS91" s="297"/>
      <c r="AT91" s="297"/>
      <c r="AU91" s="297"/>
      <c r="AV91" s="297"/>
      <c r="AW91" s="1"/>
    </row>
    <row r="92">
      <c r="A92" s="1"/>
      <c r="B92" s="297"/>
      <c r="C92" s="1"/>
      <c r="D92" s="297"/>
      <c r="E92" s="297"/>
      <c r="F92" s="297"/>
      <c r="G92" s="297"/>
      <c r="H92" s="297"/>
      <c r="I92" s="297"/>
      <c r="J92" s="297"/>
      <c r="K92" s="1"/>
      <c r="L92" s="296"/>
      <c r="N92" s="296"/>
      <c r="O92" s="296"/>
      <c r="P92" s="296"/>
      <c r="Q92" s="296"/>
      <c r="R92" s="1"/>
      <c r="S92" s="310"/>
      <c r="T92" s="310"/>
      <c r="U92" s="310"/>
      <c r="V92" s="310"/>
      <c r="W92" s="310"/>
      <c r="X92" s="1"/>
      <c r="Y92" s="297"/>
      <c r="Z92" s="297"/>
      <c r="AA92" s="1"/>
      <c r="AB92" s="297"/>
      <c r="AC92" s="297"/>
      <c r="AD92" s="297"/>
      <c r="AE92" s="297"/>
      <c r="AF92" s="1"/>
      <c r="AG92" s="297"/>
      <c r="AH92" s="297"/>
      <c r="AI92" s="297"/>
      <c r="AJ92" s="297"/>
      <c r="AK92" s="297"/>
      <c r="AL92" s="297"/>
      <c r="AM92" s="297"/>
      <c r="AN92" s="297"/>
      <c r="AO92" s="297"/>
      <c r="AP92" s="297"/>
      <c r="AQ92" s="297"/>
      <c r="AR92" s="297"/>
      <c r="AS92" s="297"/>
      <c r="AT92" s="297"/>
      <c r="AU92" s="297"/>
      <c r="AV92" s="297"/>
      <c r="AW92" s="1"/>
    </row>
    <row r="93">
      <c r="A93" s="1"/>
      <c r="B93" s="297"/>
      <c r="C93" s="1"/>
      <c r="D93" s="297"/>
      <c r="E93" s="297"/>
      <c r="F93" s="297"/>
      <c r="G93" s="297"/>
      <c r="H93" s="297"/>
      <c r="I93" s="297"/>
      <c r="J93" s="297"/>
      <c r="K93" s="1"/>
      <c r="L93" s="296"/>
      <c r="N93" s="296"/>
      <c r="O93" s="296"/>
      <c r="P93" s="296"/>
      <c r="Q93" s="296"/>
      <c r="R93" s="1"/>
      <c r="S93" s="310"/>
      <c r="T93" s="310"/>
      <c r="U93" s="310"/>
      <c r="V93" s="310"/>
      <c r="W93" s="310"/>
      <c r="X93" s="1"/>
      <c r="Y93" s="297"/>
      <c r="Z93" s="297"/>
      <c r="AA93" s="1"/>
      <c r="AB93" s="297"/>
      <c r="AC93" s="297"/>
      <c r="AD93" s="297"/>
      <c r="AE93" s="297"/>
      <c r="AF93" s="1"/>
      <c r="AG93" s="297"/>
      <c r="AH93" s="297"/>
      <c r="AI93" s="297"/>
      <c r="AJ93" s="297"/>
      <c r="AK93" s="297"/>
      <c r="AL93" s="297"/>
      <c r="AM93" s="297"/>
      <c r="AN93" s="297"/>
      <c r="AO93" s="297"/>
      <c r="AP93" s="297"/>
      <c r="AQ93" s="297"/>
      <c r="AR93" s="297"/>
      <c r="AS93" s="297"/>
      <c r="AT93" s="297"/>
      <c r="AU93" s="297"/>
      <c r="AV93" s="297"/>
      <c r="AW93" s="1"/>
    </row>
    <row r="94">
      <c r="A94" s="1"/>
      <c r="B94" s="297"/>
      <c r="C94" s="1"/>
      <c r="D94" s="297"/>
      <c r="E94" s="297"/>
      <c r="F94" s="297"/>
      <c r="G94" s="297"/>
      <c r="H94" s="297"/>
      <c r="I94" s="297"/>
      <c r="J94" s="297"/>
      <c r="K94" s="1"/>
      <c r="L94" s="296"/>
      <c r="N94" s="296"/>
      <c r="O94" s="296"/>
      <c r="P94" s="296"/>
      <c r="Q94" s="296"/>
      <c r="R94" s="1"/>
      <c r="S94" s="310"/>
      <c r="T94" s="310"/>
      <c r="U94" s="310"/>
      <c r="V94" s="310"/>
      <c r="W94" s="310"/>
      <c r="X94" s="1"/>
      <c r="Y94" s="297"/>
      <c r="Z94" s="297"/>
      <c r="AA94" s="1"/>
      <c r="AB94" s="297"/>
      <c r="AC94" s="297"/>
      <c r="AD94" s="297"/>
      <c r="AE94" s="297"/>
      <c r="AF94" s="1"/>
      <c r="AG94" s="297"/>
      <c r="AH94" s="297"/>
      <c r="AI94" s="297"/>
      <c r="AJ94" s="297"/>
      <c r="AK94" s="297"/>
      <c r="AL94" s="297"/>
      <c r="AM94" s="297"/>
      <c r="AN94" s="297"/>
      <c r="AO94" s="297"/>
      <c r="AP94" s="297"/>
      <c r="AQ94" s="297"/>
      <c r="AR94" s="297"/>
      <c r="AS94" s="297"/>
      <c r="AT94" s="297"/>
      <c r="AU94" s="297"/>
      <c r="AV94" s="297"/>
      <c r="AW94" s="1"/>
    </row>
    <row r="95">
      <c r="A95" s="1"/>
      <c r="B95" s="297"/>
      <c r="C95" s="1"/>
      <c r="D95" s="297"/>
      <c r="E95" s="297"/>
      <c r="F95" s="297"/>
      <c r="G95" s="297"/>
      <c r="H95" s="297"/>
      <c r="I95" s="297"/>
      <c r="J95" s="297"/>
      <c r="K95" s="1"/>
      <c r="L95" s="296"/>
      <c r="N95" s="296"/>
      <c r="O95" s="296"/>
      <c r="P95" s="296"/>
      <c r="Q95" s="296"/>
      <c r="R95" s="1"/>
      <c r="S95" s="310"/>
      <c r="T95" s="310"/>
      <c r="U95" s="310"/>
      <c r="V95" s="310"/>
      <c r="W95" s="310"/>
      <c r="X95" s="1"/>
      <c r="Y95" s="297"/>
      <c r="Z95" s="297"/>
      <c r="AA95" s="1"/>
      <c r="AB95" s="297"/>
      <c r="AC95" s="297"/>
      <c r="AD95" s="297"/>
      <c r="AE95" s="297"/>
      <c r="AF95" s="1"/>
      <c r="AG95" s="297"/>
      <c r="AH95" s="297"/>
      <c r="AI95" s="297"/>
      <c r="AJ95" s="297"/>
      <c r="AK95" s="297"/>
      <c r="AL95" s="297"/>
      <c r="AM95" s="297"/>
      <c r="AN95" s="297"/>
      <c r="AO95" s="297"/>
      <c r="AP95" s="297"/>
      <c r="AQ95" s="297"/>
      <c r="AR95" s="297"/>
      <c r="AS95" s="297"/>
      <c r="AT95" s="297"/>
      <c r="AU95" s="297"/>
      <c r="AV95" s="297"/>
      <c r="AW95" s="1"/>
    </row>
    <row r="96">
      <c r="A96" s="1"/>
      <c r="B96" s="297"/>
      <c r="C96" s="1"/>
      <c r="D96" s="297"/>
      <c r="E96" s="297"/>
      <c r="F96" s="297"/>
      <c r="G96" s="297"/>
      <c r="H96" s="297"/>
      <c r="I96" s="297"/>
      <c r="J96" s="297"/>
      <c r="K96" s="1"/>
      <c r="L96" s="296"/>
      <c r="N96" s="296"/>
      <c r="O96" s="296"/>
      <c r="P96" s="296"/>
      <c r="Q96" s="296"/>
      <c r="R96" s="1"/>
      <c r="S96" s="310"/>
      <c r="T96" s="310"/>
      <c r="U96" s="310"/>
      <c r="V96" s="310"/>
      <c r="W96" s="310"/>
      <c r="X96" s="1"/>
      <c r="Y96" s="297"/>
      <c r="Z96" s="297"/>
      <c r="AA96" s="1"/>
      <c r="AB96" s="297"/>
      <c r="AC96" s="297"/>
      <c r="AD96" s="297"/>
      <c r="AE96" s="297"/>
      <c r="AF96" s="1"/>
      <c r="AG96" s="297"/>
      <c r="AH96" s="297"/>
      <c r="AI96" s="297"/>
      <c r="AJ96" s="297"/>
      <c r="AK96" s="297"/>
      <c r="AL96" s="297"/>
      <c r="AM96" s="297"/>
      <c r="AN96" s="297"/>
      <c r="AO96" s="297"/>
      <c r="AP96" s="297"/>
      <c r="AQ96" s="297"/>
      <c r="AR96" s="297"/>
      <c r="AS96" s="297"/>
      <c r="AT96" s="297"/>
      <c r="AU96" s="297"/>
      <c r="AV96" s="297"/>
      <c r="AW96" s="1"/>
    </row>
    <row r="97">
      <c r="A97" s="1"/>
      <c r="B97" s="297"/>
      <c r="C97" s="1"/>
      <c r="D97" s="297"/>
      <c r="E97" s="297"/>
      <c r="F97" s="297"/>
      <c r="G97" s="297"/>
      <c r="H97" s="297"/>
      <c r="I97" s="297"/>
      <c r="J97" s="297"/>
      <c r="K97" s="1"/>
      <c r="L97" s="296"/>
      <c r="N97" s="296"/>
      <c r="O97" s="296"/>
      <c r="P97" s="296"/>
      <c r="Q97" s="296"/>
      <c r="R97" s="1"/>
      <c r="S97" s="310"/>
      <c r="T97" s="310"/>
      <c r="U97" s="310"/>
      <c r="V97" s="310"/>
      <c r="W97" s="310"/>
      <c r="X97" s="1"/>
      <c r="Y97" s="297"/>
      <c r="Z97" s="297"/>
      <c r="AA97" s="1"/>
      <c r="AB97" s="297"/>
      <c r="AC97" s="297"/>
      <c r="AD97" s="297"/>
      <c r="AE97" s="297"/>
      <c r="AF97" s="1"/>
      <c r="AG97" s="297"/>
      <c r="AH97" s="297"/>
      <c r="AI97" s="297"/>
      <c r="AJ97" s="297"/>
      <c r="AK97" s="297"/>
      <c r="AL97" s="297"/>
      <c r="AM97" s="297"/>
      <c r="AN97" s="297"/>
      <c r="AO97" s="297"/>
      <c r="AP97" s="297"/>
      <c r="AQ97" s="297"/>
      <c r="AR97" s="297"/>
      <c r="AS97" s="297"/>
      <c r="AT97" s="297"/>
      <c r="AU97" s="297"/>
      <c r="AV97" s="297"/>
      <c r="AW97" s="1"/>
    </row>
    <row r="98">
      <c r="A98" s="1"/>
      <c r="B98" s="297"/>
      <c r="C98" s="1"/>
      <c r="D98" s="297"/>
      <c r="E98" s="297"/>
      <c r="F98" s="297"/>
      <c r="G98" s="297"/>
      <c r="H98" s="297"/>
      <c r="I98" s="297"/>
      <c r="J98" s="297"/>
      <c r="K98" s="1"/>
      <c r="L98" s="296"/>
      <c r="N98" s="296"/>
      <c r="O98" s="296"/>
      <c r="P98" s="296"/>
      <c r="Q98" s="296"/>
      <c r="R98" s="1"/>
      <c r="S98" s="310"/>
      <c r="T98" s="310"/>
      <c r="U98" s="310"/>
      <c r="V98" s="310"/>
      <c r="W98" s="310"/>
      <c r="X98" s="1"/>
      <c r="Y98" s="297"/>
      <c r="Z98" s="297"/>
      <c r="AA98" s="1"/>
      <c r="AB98" s="297"/>
      <c r="AC98" s="297"/>
      <c r="AD98" s="297"/>
      <c r="AE98" s="297"/>
      <c r="AF98" s="1"/>
      <c r="AG98" s="297"/>
      <c r="AH98" s="297"/>
      <c r="AI98" s="297"/>
      <c r="AJ98" s="297"/>
      <c r="AK98" s="297"/>
      <c r="AL98" s="297"/>
      <c r="AM98" s="297"/>
      <c r="AN98" s="297"/>
      <c r="AO98" s="297"/>
      <c r="AP98" s="297"/>
      <c r="AQ98" s="297"/>
      <c r="AR98" s="297"/>
      <c r="AS98" s="297"/>
      <c r="AT98" s="297"/>
      <c r="AU98" s="297"/>
      <c r="AV98" s="297"/>
      <c r="AW98" s="1"/>
    </row>
    <row r="99">
      <c r="A99" s="1"/>
      <c r="B99" s="297"/>
      <c r="C99" s="1"/>
      <c r="D99" s="297"/>
      <c r="E99" s="297"/>
      <c r="F99" s="297"/>
      <c r="G99" s="297"/>
      <c r="H99" s="297"/>
      <c r="I99" s="297"/>
      <c r="J99" s="297"/>
      <c r="K99" s="1"/>
      <c r="L99" s="296"/>
      <c r="N99" s="296"/>
      <c r="O99" s="296"/>
      <c r="P99" s="296"/>
      <c r="Q99" s="296"/>
      <c r="R99" s="1"/>
      <c r="S99" s="310"/>
      <c r="T99" s="310"/>
      <c r="U99" s="310"/>
      <c r="V99" s="310"/>
      <c r="W99" s="310"/>
      <c r="X99" s="1"/>
      <c r="Y99" s="297"/>
      <c r="Z99" s="297"/>
      <c r="AA99" s="1"/>
      <c r="AB99" s="297"/>
      <c r="AC99" s="297"/>
      <c r="AD99" s="297"/>
      <c r="AE99" s="297"/>
      <c r="AF99" s="1"/>
      <c r="AG99" s="297"/>
      <c r="AH99" s="297"/>
      <c r="AI99" s="297"/>
      <c r="AJ99" s="297"/>
      <c r="AK99" s="297"/>
      <c r="AL99" s="297"/>
      <c r="AM99" s="297"/>
      <c r="AN99" s="297"/>
      <c r="AO99" s="297"/>
      <c r="AP99" s="297"/>
      <c r="AQ99" s="297"/>
      <c r="AR99" s="297"/>
      <c r="AS99" s="297"/>
      <c r="AT99" s="297"/>
      <c r="AU99" s="297"/>
      <c r="AV99" s="297"/>
      <c r="AW99" s="1"/>
    </row>
    <row r="100">
      <c r="A100" s="1"/>
      <c r="B100" s="297"/>
      <c r="C100" s="1"/>
      <c r="D100" s="297"/>
      <c r="E100" s="297"/>
      <c r="F100" s="297"/>
      <c r="G100" s="297"/>
      <c r="H100" s="297"/>
      <c r="I100" s="297"/>
      <c r="J100" s="297"/>
      <c r="K100" s="1"/>
      <c r="L100" s="296"/>
      <c r="N100" s="296"/>
      <c r="O100" s="296"/>
      <c r="P100" s="296"/>
      <c r="Q100" s="296"/>
      <c r="R100" s="1"/>
      <c r="S100" s="310"/>
      <c r="T100" s="310"/>
      <c r="U100" s="310"/>
      <c r="V100" s="310"/>
      <c r="W100" s="310"/>
      <c r="X100" s="1"/>
      <c r="Y100" s="297"/>
      <c r="Z100" s="297"/>
      <c r="AA100" s="1"/>
      <c r="AB100" s="297"/>
      <c r="AC100" s="297"/>
      <c r="AD100" s="297"/>
      <c r="AE100" s="297"/>
      <c r="AF100" s="1"/>
      <c r="AG100" s="297"/>
      <c r="AH100" s="297"/>
      <c r="AI100" s="297"/>
      <c r="AJ100" s="297"/>
      <c r="AK100" s="297"/>
      <c r="AL100" s="297"/>
      <c r="AM100" s="297"/>
      <c r="AN100" s="297"/>
      <c r="AO100" s="297"/>
      <c r="AP100" s="297"/>
      <c r="AQ100" s="297"/>
      <c r="AR100" s="297"/>
      <c r="AS100" s="297"/>
      <c r="AT100" s="297"/>
      <c r="AU100" s="297"/>
      <c r="AV100" s="297"/>
      <c r="AW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row>
  </sheetData>
  <mergeCells count="105">
    <mergeCell ref="L75:M75"/>
    <mergeCell ref="L77:M77"/>
    <mergeCell ref="L76:M76"/>
    <mergeCell ref="L70:M70"/>
    <mergeCell ref="L71:M71"/>
    <mergeCell ref="L64:M64"/>
    <mergeCell ref="L65:M65"/>
    <mergeCell ref="L68:M68"/>
    <mergeCell ref="L66:M66"/>
    <mergeCell ref="L67:M67"/>
    <mergeCell ref="L63:M63"/>
    <mergeCell ref="L94:M94"/>
    <mergeCell ref="L96:M96"/>
    <mergeCell ref="L95:M95"/>
    <mergeCell ref="L97:M97"/>
    <mergeCell ref="L98:M98"/>
    <mergeCell ref="L99:M99"/>
    <mergeCell ref="L100:M100"/>
    <mergeCell ref="L80:M80"/>
    <mergeCell ref="L83:M83"/>
    <mergeCell ref="L79:M79"/>
    <mergeCell ref="L78:M78"/>
    <mergeCell ref="L82:M82"/>
    <mergeCell ref="L81:M81"/>
    <mergeCell ref="L57:M57"/>
    <mergeCell ref="L55:M55"/>
    <mergeCell ref="L56:M56"/>
    <mergeCell ref="L59:M59"/>
    <mergeCell ref="L51:M51"/>
    <mergeCell ref="L50:M50"/>
    <mergeCell ref="L33:M33"/>
    <mergeCell ref="L32:M32"/>
    <mergeCell ref="L34:M34"/>
    <mergeCell ref="L36:M36"/>
    <mergeCell ref="L35:M35"/>
    <mergeCell ref="L20:M20"/>
    <mergeCell ref="L21:M21"/>
    <mergeCell ref="L1:Q1"/>
    <mergeCell ref="L4:M4"/>
    <mergeCell ref="L9:M9"/>
    <mergeCell ref="L10:M10"/>
    <mergeCell ref="L17:M17"/>
    <mergeCell ref="L8:M8"/>
    <mergeCell ref="L25:M25"/>
    <mergeCell ref="L24:M24"/>
    <mergeCell ref="L11:M11"/>
    <mergeCell ref="L26:M26"/>
    <mergeCell ref="L23:M23"/>
    <mergeCell ref="L22:M22"/>
    <mergeCell ref="L13:M13"/>
    <mergeCell ref="L12:M12"/>
    <mergeCell ref="L16:M16"/>
    <mergeCell ref="D1:J1"/>
    <mergeCell ref="AG1:AV1"/>
    <mergeCell ref="Y1:Z1"/>
    <mergeCell ref="S1:W1"/>
    <mergeCell ref="AB1:AE1"/>
    <mergeCell ref="L7:M7"/>
    <mergeCell ref="L15:M15"/>
    <mergeCell ref="L14:M14"/>
    <mergeCell ref="L6:M6"/>
    <mergeCell ref="L5:M5"/>
    <mergeCell ref="L3:M3"/>
    <mergeCell ref="L2:M2"/>
    <mergeCell ref="L85:M85"/>
    <mergeCell ref="L84:M84"/>
    <mergeCell ref="L72:M72"/>
    <mergeCell ref="L74:M74"/>
    <mergeCell ref="L73:M73"/>
    <mergeCell ref="L29:M29"/>
    <mergeCell ref="L28:M28"/>
    <mergeCell ref="L27:M27"/>
    <mergeCell ref="L30:M30"/>
    <mergeCell ref="L18:M18"/>
    <mergeCell ref="L19:M19"/>
    <mergeCell ref="L86:M86"/>
    <mergeCell ref="L69:M69"/>
    <mergeCell ref="L31:M31"/>
    <mergeCell ref="L93:M93"/>
    <mergeCell ref="L89:M89"/>
    <mergeCell ref="L92:M92"/>
    <mergeCell ref="L91:M91"/>
    <mergeCell ref="L90:M90"/>
    <mergeCell ref="L47:M47"/>
    <mergeCell ref="L62:M62"/>
    <mergeCell ref="L52:M52"/>
    <mergeCell ref="L58:M58"/>
    <mergeCell ref="L61:M61"/>
    <mergeCell ref="L60:M60"/>
    <mergeCell ref="L53:M53"/>
    <mergeCell ref="L54:M54"/>
    <mergeCell ref="L39:M39"/>
    <mergeCell ref="L42:M42"/>
    <mergeCell ref="L40:M40"/>
    <mergeCell ref="L41:M41"/>
    <mergeCell ref="L37:M37"/>
    <mergeCell ref="L38:M38"/>
    <mergeCell ref="L48:M48"/>
    <mergeCell ref="L49:M49"/>
    <mergeCell ref="L43:M43"/>
    <mergeCell ref="L44:M44"/>
    <mergeCell ref="L45:M45"/>
    <mergeCell ref="L46:M46"/>
    <mergeCell ref="L88:M88"/>
    <mergeCell ref="L87:M87"/>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3.71"/>
    <col customWidth="1" min="12" max="12" width="3.71"/>
  </cols>
  <sheetData>
    <row r="1">
      <c r="A1" s="349"/>
      <c r="B1" s="349"/>
      <c r="L1" s="349"/>
    </row>
    <row r="2">
      <c r="B2" s="350" t="s">
        <v>554</v>
      </c>
    </row>
    <row r="3">
      <c r="B3" s="67" t="s">
        <v>555</v>
      </c>
      <c r="C3" s="67" t="s">
        <v>556</v>
      </c>
      <c r="D3" s="67" t="s">
        <v>557</v>
      </c>
    </row>
    <row r="5">
      <c r="B5" s="67" t="s">
        <v>558</v>
      </c>
      <c r="C5" s="67" t="s">
        <v>559</v>
      </c>
      <c r="D5" s="351" t="s">
        <v>560</v>
      </c>
    </row>
    <row r="6">
      <c r="B6" s="67" t="s">
        <v>561</v>
      </c>
      <c r="C6" s="67" t="s">
        <v>559</v>
      </c>
      <c r="D6" s="351" t="s">
        <v>562</v>
      </c>
    </row>
    <row r="7">
      <c r="B7" s="67" t="s">
        <v>563</v>
      </c>
      <c r="C7" s="67" t="s">
        <v>564</v>
      </c>
      <c r="D7" s="351" t="s">
        <v>565</v>
      </c>
    </row>
    <row r="8">
      <c r="B8" s="67" t="s">
        <v>566</v>
      </c>
      <c r="C8" s="67" t="s">
        <v>567</v>
      </c>
      <c r="D8" s="351" t="s">
        <v>568</v>
      </c>
    </row>
    <row r="9">
      <c r="B9" s="352"/>
      <c r="C9" s="352"/>
      <c r="D9" s="353"/>
    </row>
    <row r="10">
      <c r="B10" s="352"/>
      <c r="C10" s="352"/>
      <c r="D10" s="353"/>
    </row>
    <row r="11">
      <c r="B11" s="352"/>
      <c r="C11" s="352"/>
      <c r="D11" s="353"/>
    </row>
    <row r="12">
      <c r="B12" s="352"/>
      <c r="C12" s="352"/>
      <c r="D12" s="353"/>
    </row>
    <row r="13">
      <c r="B13" s="352"/>
      <c r="C13" s="352"/>
      <c r="D13" s="353"/>
    </row>
    <row r="14">
      <c r="B14" s="352"/>
      <c r="C14" s="352"/>
      <c r="D14" s="353"/>
    </row>
    <row r="15">
      <c r="B15" s="352"/>
      <c r="C15" s="352"/>
      <c r="D15" s="353"/>
    </row>
    <row r="16">
      <c r="B16" s="352"/>
      <c r="C16" s="352"/>
      <c r="D16" s="353"/>
    </row>
    <row r="17">
      <c r="B17" s="352"/>
      <c r="C17" s="352"/>
      <c r="D17" s="353"/>
    </row>
    <row r="18">
      <c r="B18" s="352"/>
      <c r="C18" s="352"/>
      <c r="D18" s="353"/>
    </row>
    <row r="19">
      <c r="B19" s="352"/>
      <c r="C19" s="352"/>
      <c r="D19" s="353"/>
    </row>
    <row r="20">
      <c r="B20" s="352"/>
      <c r="C20" s="352"/>
      <c r="D20" s="353"/>
    </row>
    <row r="21">
      <c r="B21" s="352"/>
      <c r="C21" s="352"/>
      <c r="D21" s="353"/>
    </row>
    <row r="22">
      <c r="B22" s="352"/>
      <c r="C22" s="352"/>
      <c r="D22" s="353"/>
    </row>
    <row r="23">
      <c r="B23" s="352"/>
      <c r="C23" s="352"/>
      <c r="D23" s="353"/>
    </row>
    <row r="24">
      <c r="B24" s="352"/>
      <c r="C24" s="352"/>
      <c r="D24" s="353"/>
    </row>
    <row r="25">
      <c r="B25" s="352"/>
      <c r="C25" s="352"/>
      <c r="D25" s="353"/>
    </row>
    <row r="26">
      <c r="B26" s="352"/>
      <c r="C26" s="352"/>
      <c r="D26" s="353"/>
    </row>
    <row r="27">
      <c r="B27" s="352"/>
      <c r="C27" s="352"/>
      <c r="D27" s="353"/>
    </row>
    <row r="28">
      <c r="B28" s="352"/>
      <c r="C28" s="352"/>
      <c r="D28" s="353"/>
    </row>
    <row r="29">
      <c r="B29" s="352"/>
      <c r="C29" s="352"/>
      <c r="D29" s="353"/>
    </row>
    <row r="30">
      <c r="B30" s="352"/>
      <c r="C30" s="352"/>
      <c r="D30" s="353"/>
    </row>
    <row r="31">
      <c r="B31" s="352"/>
      <c r="C31" s="352"/>
      <c r="D31" s="353"/>
    </row>
    <row r="32">
      <c r="B32" s="352"/>
      <c r="C32" s="352"/>
      <c r="D32" s="353"/>
    </row>
    <row r="33">
      <c r="B33" s="352"/>
      <c r="C33" s="352"/>
      <c r="D33" s="353"/>
    </row>
    <row r="34">
      <c r="B34" s="352"/>
      <c r="C34" s="352"/>
      <c r="D34" s="353"/>
    </row>
    <row r="35">
      <c r="B35" s="352"/>
      <c r="C35" s="352"/>
      <c r="D35" s="353"/>
    </row>
    <row r="36">
      <c r="B36" s="352"/>
      <c r="C36" s="352"/>
      <c r="D36" s="353"/>
    </row>
    <row r="37">
      <c r="B37" s="352"/>
      <c r="C37" s="352"/>
      <c r="D37" s="353"/>
    </row>
    <row r="38">
      <c r="B38" s="352"/>
      <c r="C38" s="352"/>
      <c r="D38" s="353"/>
    </row>
    <row r="39">
      <c r="B39" s="352"/>
      <c r="C39" s="352"/>
      <c r="D39" s="353"/>
    </row>
    <row r="40">
      <c r="B40" s="352"/>
      <c r="C40" s="352"/>
      <c r="D40" s="353"/>
    </row>
    <row r="41">
      <c r="B41" s="352"/>
      <c r="C41" s="352"/>
      <c r="D41" s="353"/>
    </row>
    <row r="42">
      <c r="B42" s="352"/>
      <c r="C42" s="352"/>
      <c r="D42" s="353"/>
    </row>
    <row r="43">
      <c r="B43" s="352"/>
      <c r="C43" s="352"/>
      <c r="D43" s="353"/>
    </row>
    <row r="44">
      <c r="B44" s="352"/>
      <c r="C44" s="352"/>
      <c r="D44" s="353"/>
    </row>
    <row r="45">
      <c r="B45" s="352"/>
      <c r="C45" s="352"/>
      <c r="D45" s="353"/>
    </row>
    <row r="46">
      <c r="B46" s="352"/>
      <c r="C46" s="352"/>
      <c r="D46" s="353"/>
    </row>
    <row r="47">
      <c r="B47" s="352"/>
      <c r="C47" s="352"/>
      <c r="D47" s="353"/>
    </row>
    <row r="48">
      <c r="B48" s="352"/>
      <c r="C48" s="352"/>
      <c r="D48" s="353"/>
    </row>
    <row r="49">
      <c r="B49" s="352"/>
      <c r="C49" s="352"/>
      <c r="D49" s="353"/>
    </row>
    <row r="50">
      <c r="B50" s="352"/>
      <c r="C50" s="352"/>
      <c r="D50" s="353"/>
    </row>
    <row r="51">
      <c r="B51" s="352"/>
      <c r="C51" s="352"/>
      <c r="D51" s="353"/>
    </row>
    <row r="52">
      <c r="B52" s="352"/>
      <c r="C52" s="352"/>
      <c r="D52" s="353"/>
    </row>
    <row r="53">
      <c r="B53" s="352"/>
      <c r="C53" s="352"/>
      <c r="D53" s="353"/>
    </row>
    <row r="54">
      <c r="B54" s="352"/>
      <c r="C54" s="352"/>
      <c r="D54" s="353"/>
    </row>
    <row r="55">
      <c r="B55" s="352"/>
      <c r="C55" s="352"/>
      <c r="D55" s="353"/>
    </row>
    <row r="56">
      <c r="B56" s="352"/>
      <c r="C56" s="352"/>
      <c r="D56" s="353"/>
    </row>
    <row r="57">
      <c r="B57" s="352"/>
      <c r="C57" s="352"/>
      <c r="D57" s="353"/>
    </row>
    <row r="58">
      <c r="B58" s="352"/>
      <c r="C58" s="352"/>
      <c r="D58" s="353"/>
    </row>
    <row r="59">
      <c r="B59" s="352"/>
      <c r="C59" s="352"/>
      <c r="D59" s="353"/>
    </row>
    <row r="60">
      <c r="B60" s="352"/>
      <c r="C60" s="352"/>
      <c r="D60" s="353"/>
    </row>
    <row r="61">
      <c r="B61" s="352"/>
      <c r="C61" s="352"/>
      <c r="D61" s="353"/>
    </row>
    <row r="62">
      <c r="B62" s="352"/>
      <c r="C62" s="352"/>
      <c r="D62" s="353"/>
    </row>
    <row r="63">
      <c r="B63" s="352"/>
      <c r="C63" s="352"/>
      <c r="D63" s="353"/>
    </row>
    <row r="64">
      <c r="B64" s="352"/>
      <c r="C64" s="352"/>
      <c r="D64" s="353"/>
    </row>
    <row r="65">
      <c r="B65" s="352"/>
      <c r="C65" s="352"/>
      <c r="D65" s="353"/>
    </row>
    <row r="66">
      <c r="B66" s="352"/>
      <c r="C66" s="352"/>
      <c r="D66" s="353"/>
    </row>
    <row r="67">
      <c r="B67" s="352"/>
      <c r="C67" s="352"/>
      <c r="D67" s="353"/>
    </row>
    <row r="68">
      <c r="B68" s="352"/>
      <c r="C68" s="352"/>
      <c r="D68" s="353"/>
    </row>
    <row r="69">
      <c r="B69" s="352"/>
      <c r="C69" s="352"/>
      <c r="D69" s="353"/>
    </row>
    <row r="70">
      <c r="B70" s="352"/>
      <c r="C70" s="352"/>
      <c r="D70" s="353"/>
    </row>
    <row r="71">
      <c r="B71" s="352"/>
      <c r="C71" s="352"/>
      <c r="D71" s="353"/>
    </row>
    <row r="72">
      <c r="B72" s="352"/>
      <c r="C72" s="352"/>
      <c r="D72" s="353"/>
    </row>
    <row r="73">
      <c r="B73" s="352"/>
      <c r="C73" s="352"/>
      <c r="D73" s="353"/>
    </row>
    <row r="74">
      <c r="B74" s="352"/>
      <c r="C74" s="352"/>
      <c r="D74" s="353"/>
    </row>
    <row r="75">
      <c r="B75" s="352"/>
      <c r="C75" s="352"/>
      <c r="D75" s="353"/>
    </row>
    <row r="76">
      <c r="B76" s="352"/>
      <c r="C76" s="352"/>
      <c r="D76" s="353"/>
    </row>
    <row r="77">
      <c r="B77" s="352"/>
      <c r="C77" s="352"/>
      <c r="D77" s="353"/>
    </row>
    <row r="78">
      <c r="B78" s="352"/>
      <c r="C78" s="352"/>
      <c r="D78" s="353"/>
    </row>
    <row r="79">
      <c r="B79" s="352"/>
      <c r="C79" s="352"/>
      <c r="D79" s="353"/>
    </row>
    <row r="80">
      <c r="B80" s="352"/>
      <c r="C80" s="352"/>
      <c r="D80" s="353"/>
    </row>
    <row r="81">
      <c r="B81" s="352"/>
      <c r="C81" s="352"/>
      <c r="D81" s="353"/>
    </row>
    <row r="82">
      <c r="B82" s="352"/>
      <c r="C82" s="352"/>
      <c r="D82" s="353"/>
    </row>
    <row r="83">
      <c r="B83" s="352"/>
      <c r="C83" s="352"/>
      <c r="D83" s="353"/>
    </row>
    <row r="84">
      <c r="B84" s="352"/>
      <c r="C84" s="352"/>
      <c r="D84" s="353"/>
    </row>
    <row r="85">
      <c r="B85" s="352"/>
      <c r="C85" s="352"/>
      <c r="D85" s="353"/>
    </row>
    <row r="86">
      <c r="B86" s="352"/>
      <c r="C86" s="352"/>
      <c r="D86" s="353"/>
    </row>
    <row r="87">
      <c r="B87" s="352"/>
      <c r="C87" s="352"/>
      <c r="D87" s="353"/>
    </row>
    <row r="88">
      <c r="B88" s="352"/>
      <c r="C88" s="352"/>
      <c r="D88" s="353"/>
    </row>
    <row r="89">
      <c r="B89" s="352"/>
      <c r="C89" s="352"/>
      <c r="D89" s="353"/>
    </row>
    <row r="90">
      <c r="B90" s="352"/>
      <c r="C90" s="352"/>
      <c r="D90" s="353"/>
    </row>
    <row r="91">
      <c r="B91" s="352"/>
      <c r="C91" s="352"/>
      <c r="D91" s="353"/>
    </row>
    <row r="92">
      <c r="B92" s="352"/>
      <c r="C92" s="352"/>
      <c r="D92" s="353"/>
    </row>
    <row r="93">
      <c r="B93" s="352"/>
      <c r="C93" s="352"/>
      <c r="D93" s="353"/>
    </row>
    <row r="94">
      <c r="B94" s="352"/>
      <c r="C94" s="352"/>
      <c r="D94" s="353"/>
    </row>
    <row r="95">
      <c r="B95" s="352"/>
      <c r="C95" s="352"/>
      <c r="D95" s="353"/>
    </row>
    <row r="96">
      <c r="B96" s="352"/>
      <c r="C96" s="352"/>
      <c r="D96" s="353"/>
    </row>
    <row r="97">
      <c r="B97" s="352"/>
      <c r="C97" s="352"/>
      <c r="D97" s="353"/>
    </row>
    <row r="98">
      <c r="B98" s="352"/>
      <c r="C98" s="352"/>
      <c r="D98" s="353"/>
    </row>
    <row r="99">
      <c r="B99" s="352"/>
      <c r="C99" s="352"/>
      <c r="D99" s="353"/>
    </row>
    <row r="100">
      <c r="B100" s="352"/>
      <c r="C100" s="352"/>
      <c r="D100" s="353"/>
    </row>
    <row r="101">
      <c r="B101" s="352"/>
      <c r="C101" s="352"/>
      <c r="D101" s="353"/>
    </row>
    <row r="102">
      <c r="B102" s="352"/>
      <c r="C102" s="352"/>
      <c r="D102" s="353"/>
    </row>
    <row r="103">
      <c r="B103" s="352"/>
      <c r="C103" s="352"/>
      <c r="D103" s="353"/>
    </row>
    <row r="104">
      <c r="B104" s="352"/>
      <c r="C104" s="352"/>
      <c r="D104" s="353"/>
    </row>
    <row r="105">
      <c r="B105" s="352"/>
      <c r="C105" s="352"/>
      <c r="D105" s="353"/>
    </row>
    <row r="106">
      <c r="B106" s="352"/>
      <c r="C106" s="352"/>
      <c r="D106" s="353"/>
    </row>
    <row r="107">
      <c r="B107" s="352"/>
      <c r="C107" s="352"/>
      <c r="D107" s="353"/>
    </row>
    <row r="108">
      <c r="B108" s="352"/>
      <c r="C108" s="352"/>
      <c r="D108" s="353"/>
    </row>
    <row r="109">
      <c r="B109" s="352"/>
      <c r="C109" s="352"/>
      <c r="D109" s="353"/>
    </row>
    <row r="110">
      <c r="B110" s="352"/>
      <c r="C110" s="352"/>
      <c r="D110" s="353"/>
    </row>
    <row r="111">
      <c r="B111" s="352"/>
      <c r="C111" s="352"/>
      <c r="D111" s="353"/>
    </row>
    <row r="112">
      <c r="B112" s="352"/>
      <c r="C112" s="352"/>
      <c r="D112" s="353"/>
    </row>
    <row r="113">
      <c r="B113" s="352"/>
      <c r="C113" s="352"/>
      <c r="D113" s="353"/>
    </row>
    <row r="114">
      <c r="B114" s="352"/>
      <c r="C114" s="352"/>
      <c r="D114" s="353"/>
    </row>
    <row r="115">
      <c r="B115" s="352"/>
      <c r="C115" s="352"/>
      <c r="D115" s="353"/>
    </row>
    <row r="116">
      <c r="B116" s="352"/>
      <c r="C116" s="352"/>
      <c r="D116" s="353"/>
    </row>
    <row r="117">
      <c r="B117" s="352"/>
      <c r="C117" s="352"/>
      <c r="D117" s="353"/>
    </row>
    <row r="118">
      <c r="B118" s="352"/>
      <c r="C118" s="352"/>
      <c r="D118" s="353"/>
    </row>
    <row r="119">
      <c r="B119" s="352"/>
      <c r="C119" s="352"/>
      <c r="D119" s="353"/>
    </row>
    <row r="120">
      <c r="B120" s="352"/>
      <c r="C120" s="352"/>
      <c r="D120" s="353"/>
    </row>
    <row r="121">
      <c r="B121" s="352"/>
      <c r="C121" s="352"/>
      <c r="D121" s="353"/>
    </row>
    <row r="122">
      <c r="B122" s="352"/>
      <c r="C122" s="352"/>
      <c r="D122" s="353"/>
    </row>
    <row r="123">
      <c r="B123" s="352"/>
      <c r="C123" s="352"/>
      <c r="D123" s="353"/>
    </row>
    <row r="124">
      <c r="B124" s="352"/>
      <c r="C124" s="352"/>
      <c r="D124" s="353"/>
    </row>
    <row r="125">
      <c r="B125" s="352"/>
      <c r="C125" s="352"/>
      <c r="D125" s="353"/>
    </row>
    <row r="126">
      <c r="B126" s="352"/>
      <c r="C126" s="352"/>
      <c r="D126" s="353"/>
    </row>
    <row r="127">
      <c r="B127" s="352"/>
      <c r="C127" s="352"/>
      <c r="D127" s="353"/>
    </row>
    <row r="128">
      <c r="B128" s="352"/>
      <c r="C128" s="352"/>
      <c r="D128" s="353"/>
    </row>
    <row r="129">
      <c r="B129" s="352"/>
      <c r="C129" s="352"/>
      <c r="D129" s="353"/>
    </row>
    <row r="130">
      <c r="B130" s="352"/>
      <c r="C130" s="352"/>
      <c r="D130" s="353"/>
    </row>
    <row r="131">
      <c r="B131" s="352"/>
      <c r="C131" s="352"/>
      <c r="D131" s="353"/>
    </row>
    <row r="132">
      <c r="B132" s="352"/>
      <c r="C132" s="352"/>
      <c r="D132" s="353"/>
    </row>
    <row r="133">
      <c r="B133" s="352"/>
      <c r="C133" s="352"/>
      <c r="D133" s="353"/>
    </row>
    <row r="134">
      <c r="B134" s="352"/>
      <c r="C134" s="352"/>
      <c r="D134" s="353"/>
    </row>
    <row r="135">
      <c r="B135" s="352"/>
      <c r="C135" s="352"/>
      <c r="D135" s="353"/>
    </row>
    <row r="136">
      <c r="B136" s="352"/>
      <c r="C136" s="352"/>
      <c r="D136" s="353"/>
    </row>
    <row r="137">
      <c r="B137" s="352"/>
      <c r="C137" s="352"/>
      <c r="D137" s="353"/>
    </row>
    <row r="138">
      <c r="B138" s="352"/>
      <c r="C138" s="352"/>
      <c r="D138" s="353"/>
    </row>
    <row r="139">
      <c r="B139" s="352"/>
      <c r="C139" s="352"/>
      <c r="D139" s="353"/>
    </row>
    <row r="140">
      <c r="B140" s="352"/>
      <c r="C140" s="352"/>
      <c r="D140" s="353"/>
    </row>
    <row r="141">
      <c r="B141" s="352"/>
      <c r="C141" s="352"/>
      <c r="D141" s="353"/>
    </row>
    <row r="142">
      <c r="B142" s="352"/>
      <c r="C142" s="352"/>
      <c r="D142" s="353"/>
    </row>
    <row r="143">
      <c r="B143" s="352"/>
      <c r="C143" s="352"/>
      <c r="D143" s="353"/>
    </row>
    <row r="144">
      <c r="B144" s="352"/>
      <c r="C144" s="352"/>
      <c r="D144" s="353"/>
    </row>
    <row r="145">
      <c r="B145" s="352"/>
      <c r="C145" s="352"/>
      <c r="D145" s="353"/>
    </row>
    <row r="146">
      <c r="B146" s="352"/>
      <c r="C146" s="352"/>
      <c r="D146" s="353"/>
    </row>
    <row r="147">
      <c r="B147" s="352"/>
      <c r="C147" s="352"/>
      <c r="D147" s="353"/>
    </row>
    <row r="148">
      <c r="B148" s="352"/>
      <c r="C148" s="352"/>
      <c r="D148" s="353"/>
    </row>
    <row r="149">
      <c r="B149" s="352"/>
      <c r="C149" s="352"/>
      <c r="D149" s="353"/>
    </row>
    <row r="150">
      <c r="B150" s="352"/>
      <c r="C150" s="352"/>
      <c r="D150" s="353"/>
    </row>
    <row r="151">
      <c r="B151" s="352"/>
      <c r="C151" s="352"/>
      <c r="D151" s="353"/>
    </row>
    <row r="152">
      <c r="B152" s="352"/>
      <c r="C152" s="352"/>
      <c r="D152" s="353"/>
    </row>
    <row r="153">
      <c r="B153" s="352"/>
      <c r="C153" s="352"/>
      <c r="D153" s="353"/>
    </row>
    <row r="154">
      <c r="B154" s="352"/>
      <c r="C154" s="352"/>
      <c r="D154" s="353"/>
    </row>
    <row r="155">
      <c r="B155" s="352"/>
      <c r="C155" s="352"/>
      <c r="D155" s="353"/>
    </row>
    <row r="156">
      <c r="B156" s="352"/>
      <c r="C156" s="352"/>
      <c r="D156" s="353"/>
    </row>
    <row r="157">
      <c r="B157" s="352"/>
      <c r="C157" s="352"/>
      <c r="D157" s="353"/>
    </row>
    <row r="158">
      <c r="B158" s="352"/>
      <c r="C158" s="352"/>
      <c r="D158" s="353"/>
    </row>
    <row r="159">
      <c r="B159" s="352"/>
      <c r="C159" s="352"/>
      <c r="D159" s="353"/>
    </row>
    <row r="160">
      <c r="B160" s="352"/>
      <c r="C160" s="352"/>
      <c r="D160" s="353"/>
    </row>
    <row r="161">
      <c r="B161" s="352"/>
      <c r="C161" s="352"/>
      <c r="D161" s="353"/>
    </row>
    <row r="162">
      <c r="B162" s="352"/>
      <c r="C162" s="352"/>
      <c r="D162" s="353"/>
    </row>
    <row r="163">
      <c r="B163" s="352"/>
      <c r="C163" s="352"/>
      <c r="D163" s="353"/>
    </row>
    <row r="164">
      <c r="B164" s="352"/>
      <c r="C164" s="352"/>
      <c r="D164" s="353"/>
    </row>
    <row r="165">
      <c r="B165" s="352"/>
      <c r="C165" s="352"/>
      <c r="D165" s="353"/>
    </row>
    <row r="166">
      <c r="B166" s="352"/>
      <c r="C166" s="352"/>
      <c r="D166" s="353"/>
    </row>
    <row r="167">
      <c r="B167" s="352"/>
      <c r="C167" s="352"/>
      <c r="D167" s="353"/>
    </row>
    <row r="168">
      <c r="B168" s="352"/>
      <c r="C168" s="352"/>
      <c r="D168" s="353"/>
    </row>
    <row r="169">
      <c r="B169" s="352"/>
      <c r="C169" s="352"/>
      <c r="D169" s="353"/>
    </row>
    <row r="170">
      <c r="B170" s="352"/>
      <c r="C170" s="352"/>
      <c r="D170" s="353"/>
    </row>
    <row r="171">
      <c r="B171" s="352"/>
      <c r="C171" s="352"/>
      <c r="D171" s="353"/>
    </row>
    <row r="172">
      <c r="B172" s="352"/>
      <c r="C172" s="352"/>
      <c r="D172" s="353"/>
    </row>
    <row r="173">
      <c r="B173" s="352"/>
      <c r="C173" s="352"/>
      <c r="D173" s="353"/>
    </row>
    <row r="174">
      <c r="B174" s="352"/>
      <c r="C174" s="352"/>
      <c r="D174" s="353"/>
    </row>
    <row r="175">
      <c r="B175" s="352"/>
      <c r="C175" s="352"/>
      <c r="D175" s="353"/>
    </row>
    <row r="176">
      <c r="B176" s="352"/>
      <c r="C176" s="352"/>
      <c r="D176" s="353"/>
    </row>
    <row r="177">
      <c r="B177" s="352"/>
      <c r="C177" s="352"/>
      <c r="D177" s="353"/>
    </row>
    <row r="178">
      <c r="B178" s="352"/>
      <c r="C178" s="352"/>
      <c r="D178" s="353"/>
    </row>
    <row r="179">
      <c r="B179" s="352"/>
      <c r="C179" s="352"/>
      <c r="D179" s="353"/>
    </row>
    <row r="180">
      <c r="B180" s="352"/>
      <c r="C180" s="352"/>
      <c r="D180" s="353"/>
    </row>
    <row r="181">
      <c r="B181" s="352"/>
      <c r="C181" s="352"/>
      <c r="D181" s="353"/>
    </row>
    <row r="182">
      <c r="B182" s="352"/>
      <c r="C182" s="352"/>
      <c r="D182" s="353"/>
    </row>
    <row r="183">
      <c r="B183" s="352"/>
      <c r="C183" s="352"/>
      <c r="D183" s="353"/>
    </row>
    <row r="184">
      <c r="B184" s="352"/>
      <c r="C184" s="352"/>
      <c r="D184" s="353"/>
    </row>
    <row r="185">
      <c r="B185" s="352"/>
      <c r="C185" s="352"/>
      <c r="D185" s="353"/>
    </row>
    <row r="186">
      <c r="B186" s="352"/>
      <c r="C186" s="352"/>
      <c r="D186" s="353"/>
    </row>
    <row r="187">
      <c r="B187" s="352"/>
      <c r="C187" s="352"/>
      <c r="D187" s="353"/>
    </row>
    <row r="188">
      <c r="B188" s="352"/>
      <c r="C188" s="352"/>
      <c r="D188" s="353"/>
    </row>
    <row r="189">
      <c r="B189" s="352"/>
      <c r="C189" s="352"/>
      <c r="D189" s="353"/>
    </row>
    <row r="190">
      <c r="B190" s="352"/>
      <c r="C190" s="352"/>
      <c r="D190" s="353"/>
    </row>
    <row r="191">
      <c r="B191" s="352"/>
      <c r="C191" s="352"/>
      <c r="D191" s="353"/>
    </row>
    <row r="192">
      <c r="B192" s="352"/>
      <c r="C192" s="352"/>
      <c r="D192" s="353"/>
    </row>
    <row r="193">
      <c r="B193" s="352"/>
      <c r="C193" s="352"/>
      <c r="D193" s="353"/>
    </row>
    <row r="194">
      <c r="B194" s="352"/>
      <c r="C194" s="352"/>
      <c r="D194" s="353"/>
    </row>
    <row r="195">
      <c r="B195" s="352"/>
      <c r="C195" s="352"/>
      <c r="D195" s="353"/>
    </row>
    <row r="196">
      <c r="B196" s="352"/>
      <c r="C196" s="352"/>
      <c r="D196" s="353"/>
    </row>
    <row r="197">
      <c r="B197" s="352"/>
      <c r="C197" s="352"/>
      <c r="D197" s="353"/>
    </row>
    <row r="198">
      <c r="B198" s="352"/>
      <c r="C198" s="352"/>
      <c r="D198" s="353"/>
    </row>
    <row r="199">
      <c r="B199" s="352"/>
      <c r="C199" s="352"/>
      <c r="D199" s="353"/>
    </row>
    <row r="200">
      <c r="B200" s="352"/>
      <c r="C200" s="352"/>
      <c r="D200" s="353"/>
    </row>
    <row r="201">
      <c r="B201" s="352"/>
      <c r="C201" s="352"/>
      <c r="D201" s="353"/>
    </row>
    <row r="202">
      <c r="B202" s="352"/>
      <c r="C202" s="352"/>
      <c r="D202" s="353"/>
    </row>
    <row r="203">
      <c r="B203" s="352"/>
      <c r="C203" s="352"/>
      <c r="D203" s="353"/>
    </row>
    <row r="204">
      <c r="B204" s="352"/>
      <c r="C204" s="352"/>
      <c r="D204" s="353"/>
    </row>
    <row r="205">
      <c r="B205" s="352"/>
      <c r="C205" s="352"/>
      <c r="D205" s="353"/>
    </row>
    <row r="206">
      <c r="B206" s="352"/>
      <c r="C206" s="352"/>
      <c r="D206" s="353"/>
    </row>
    <row r="207">
      <c r="B207" s="352"/>
      <c r="C207" s="352"/>
      <c r="D207" s="353"/>
    </row>
    <row r="208">
      <c r="B208" s="352"/>
      <c r="C208" s="352"/>
      <c r="D208" s="353"/>
    </row>
    <row r="209">
      <c r="B209" s="352"/>
      <c r="C209" s="352"/>
      <c r="D209" s="353"/>
    </row>
    <row r="210">
      <c r="B210" s="352"/>
      <c r="C210" s="352"/>
      <c r="D210" s="353"/>
    </row>
    <row r="211">
      <c r="B211" s="352"/>
      <c r="C211" s="352"/>
      <c r="D211" s="353"/>
    </row>
    <row r="212">
      <c r="B212" s="352"/>
      <c r="C212" s="352"/>
      <c r="D212" s="353"/>
    </row>
    <row r="213">
      <c r="B213" s="352"/>
      <c r="C213" s="352"/>
      <c r="D213" s="353"/>
    </row>
    <row r="214">
      <c r="B214" s="352"/>
      <c r="C214" s="352"/>
      <c r="D214" s="353"/>
    </row>
    <row r="215">
      <c r="B215" s="352"/>
      <c r="C215" s="352"/>
      <c r="D215" s="353"/>
    </row>
    <row r="216">
      <c r="B216" s="352"/>
      <c r="C216" s="352"/>
      <c r="D216" s="353"/>
    </row>
    <row r="217">
      <c r="B217" s="352"/>
      <c r="C217" s="352"/>
      <c r="D217" s="353"/>
    </row>
    <row r="218">
      <c r="B218" s="352"/>
      <c r="C218" s="352"/>
      <c r="D218" s="353"/>
    </row>
    <row r="219">
      <c r="B219" s="352"/>
      <c r="C219" s="352"/>
      <c r="D219" s="353"/>
    </row>
    <row r="220">
      <c r="B220" s="352"/>
      <c r="C220" s="352"/>
      <c r="D220" s="353"/>
    </row>
    <row r="221">
      <c r="B221" s="352"/>
      <c r="C221" s="352"/>
      <c r="D221" s="353"/>
    </row>
    <row r="222">
      <c r="B222" s="352"/>
      <c r="C222" s="352"/>
      <c r="D222" s="353"/>
    </row>
    <row r="223">
      <c r="B223" s="352"/>
      <c r="C223" s="352"/>
      <c r="D223" s="353"/>
    </row>
    <row r="224">
      <c r="B224" s="352"/>
      <c r="C224" s="352"/>
      <c r="D224" s="353"/>
    </row>
    <row r="225">
      <c r="B225" s="352"/>
      <c r="C225" s="352"/>
      <c r="D225" s="353"/>
    </row>
    <row r="226">
      <c r="B226" s="352"/>
      <c r="C226" s="352"/>
      <c r="D226" s="353"/>
    </row>
    <row r="227">
      <c r="B227" s="352"/>
      <c r="C227" s="352"/>
      <c r="D227" s="353"/>
    </row>
    <row r="228">
      <c r="B228" s="352"/>
      <c r="C228" s="352"/>
      <c r="D228" s="353"/>
    </row>
    <row r="229">
      <c r="B229" s="352"/>
      <c r="C229" s="352"/>
      <c r="D229" s="353"/>
    </row>
    <row r="230">
      <c r="B230" s="352"/>
      <c r="C230" s="352"/>
      <c r="D230" s="353"/>
    </row>
    <row r="231">
      <c r="B231" s="352"/>
      <c r="C231" s="352"/>
      <c r="D231" s="353"/>
    </row>
    <row r="232">
      <c r="B232" s="352"/>
      <c r="C232" s="352"/>
      <c r="D232" s="353"/>
    </row>
    <row r="233">
      <c r="B233" s="352"/>
      <c r="C233" s="352"/>
      <c r="D233" s="353"/>
    </row>
    <row r="234">
      <c r="B234" s="352"/>
      <c r="C234" s="352"/>
      <c r="D234" s="353"/>
    </row>
    <row r="235">
      <c r="B235" s="352"/>
      <c r="C235" s="352"/>
      <c r="D235" s="353"/>
    </row>
    <row r="236">
      <c r="B236" s="352"/>
      <c r="C236" s="352"/>
      <c r="D236" s="353"/>
    </row>
    <row r="237">
      <c r="B237" s="352"/>
      <c r="C237" s="352"/>
      <c r="D237" s="353"/>
    </row>
    <row r="238">
      <c r="B238" s="352"/>
      <c r="C238" s="352"/>
      <c r="D238" s="353"/>
    </row>
    <row r="239">
      <c r="B239" s="352"/>
      <c r="C239" s="352"/>
      <c r="D239" s="353"/>
    </row>
    <row r="240">
      <c r="B240" s="352"/>
      <c r="C240" s="352"/>
      <c r="D240" s="353"/>
    </row>
    <row r="241">
      <c r="B241" s="352"/>
      <c r="C241" s="352"/>
      <c r="D241" s="353"/>
    </row>
    <row r="242">
      <c r="B242" s="352"/>
      <c r="C242" s="352"/>
      <c r="D242" s="353"/>
    </row>
    <row r="243">
      <c r="B243" s="352"/>
      <c r="C243" s="352"/>
      <c r="D243" s="353"/>
    </row>
    <row r="244">
      <c r="B244" s="352"/>
      <c r="C244" s="352"/>
      <c r="D244" s="353"/>
    </row>
    <row r="245">
      <c r="B245" s="352"/>
      <c r="C245" s="352"/>
      <c r="D245" s="353"/>
    </row>
    <row r="246">
      <c r="B246" s="352"/>
      <c r="C246" s="352"/>
      <c r="D246" s="353"/>
    </row>
    <row r="247">
      <c r="B247" s="352"/>
      <c r="C247" s="352"/>
      <c r="D247" s="353"/>
    </row>
    <row r="248">
      <c r="B248" s="352"/>
      <c r="C248" s="352"/>
      <c r="D248" s="353"/>
    </row>
    <row r="249">
      <c r="B249" s="352"/>
      <c r="C249" s="352"/>
      <c r="D249" s="353"/>
    </row>
    <row r="250">
      <c r="B250" s="352"/>
      <c r="C250" s="352"/>
      <c r="D250" s="353"/>
    </row>
    <row r="251">
      <c r="B251" s="352"/>
      <c r="C251" s="352"/>
      <c r="D251" s="353"/>
    </row>
    <row r="252">
      <c r="B252" s="352"/>
      <c r="C252" s="352"/>
      <c r="D252" s="353"/>
    </row>
    <row r="253">
      <c r="B253" s="352"/>
      <c r="C253" s="352"/>
      <c r="D253" s="353"/>
    </row>
    <row r="254">
      <c r="B254" s="352"/>
      <c r="C254" s="352"/>
      <c r="D254" s="353"/>
    </row>
    <row r="255">
      <c r="B255" s="352"/>
      <c r="C255" s="352"/>
      <c r="D255" s="353"/>
    </row>
    <row r="256">
      <c r="B256" s="352"/>
      <c r="C256" s="352"/>
      <c r="D256" s="353"/>
    </row>
    <row r="257">
      <c r="B257" s="352"/>
      <c r="C257" s="352"/>
      <c r="D257" s="353"/>
    </row>
    <row r="258">
      <c r="B258" s="352"/>
      <c r="C258" s="352"/>
      <c r="D258" s="353"/>
    </row>
    <row r="259">
      <c r="B259" s="352"/>
      <c r="C259" s="352"/>
      <c r="D259" s="353"/>
    </row>
    <row r="260">
      <c r="B260" s="352"/>
      <c r="C260" s="352"/>
      <c r="D260" s="353"/>
    </row>
    <row r="261">
      <c r="B261" s="352"/>
      <c r="C261" s="352"/>
      <c r="D261" s="353"/>
    </row>
    <row r="262">
      <c r="B262" s="352"/>
      <c r="C262" s="352"/>
      <c r="D262" s="353"/>
    </row>
    <row r="263">
      <c r="B263" s="352"/>
      <c r="C263" s="352"/>
      <c r="D263" s="353"/>
    </row>
    <row r="264">
      <c r="B264" s="352"/>
      <c r="C264" s="352"/>
      <c r="D264" s="353"/>
    </row>
    <row r="265">
      <c r="B265" s="352"/>
      <c r="C265" s="352"/>
      <c r="D265" s="353"/>
    </row>
    <row r="266">
      <c r="B266" s="352"/>
      <c r="C266" s="352"/>
      <c r="D266" s="353"/>
    </row>
    <row r="267">
      <c r="B267" s="352"/>
      <c r="C267" s="352"/>
      <c r="D267" s="353"/>
    </row>
    <row r="268">
      <c r="B268" s="352"/>
      <c r="C268" s="352"/>
      <c r="D268" s="353"/>
    </row>
    <row r="269">
      <c r="B269" s="352"/>
      <c r="C269" s="352"/>
      <c r="D269" s="353"/>
    </row>
    <row r="270">
      <c r="B270" s="352"/>
      <c r="C270" s="352"/>
      <c r="D270" s="353"/>
    </row>
    <row r="271">
      <c r="B271" s="352"/>
      <c r="C271" s="352"/>
      <c r="D271" s="353"/>
    </row>
    <row r="272">
      <c r="B272" s="352"/>
      <c r="C272" s="352"/>
      <c r="D272" s="353"/>
    </row>
    <row r="273">
      <c r="B273" s="352"/>
      <c r="C273" s="352"/>
      <c r="D273" s="353"/>
    </row>
    <row r="274">
      <c r="B274" s="352"/>
      <c r="C274" s="352"/>
      <c r="D274" s="353"/>
    </row>
    <row r="275">
      <c r="B275" s="352"/>
      <c r="C275" s="352"/>
      <c r="D275" s="353"/>
    </row>
    <row r="276">
      <c r="B276" s="352"/>
      <c r="C276" s="352"/>
      <c r="D276" s="353"/>
    </row>
    <row r="277">
      <c r="B277" s="352"/>
      <c r="C277" s="352"/>
      <c r="D277" s="353"/>
    </row>
    <row r="278">
      <c r="B278" s="352"/>
      <c r="C278" s="352"/>
      <c r="D278" s="353"/>
    </row>
    <row r="279">
      <c r="B279" s="352"/>
      <c r="C279" s="352"/>
      <c r="D279" s="353"/>
    </row>
    <row r="280">
      <c r="B280" s="352"/>
      <c r="C280" s="352"/>
      <c r="D280" s="353"/>
    </row>
    <row r="281">
      <c r="B281" s="352"/>
      <c r="C281" s="352"/>
      <c r="D281" s="353"/>
    </row>
    <row r="282">
      <c r="B282" s="352"/>
      <c r="C282" s="352"/>
      <c r="D282" s="353"/>
    </row>
    <row r="283">
      <c r="B283" s="352"/>
      <c r="C283" s="352"/>
      <c r="D283" s="353"/>
    </row>
    <row r="284">
      <c r="B284" s="352"/>
      <c r="C284" s="352"/>
      <c r="D284" s="353"/>
    </row>
    <row r="285">
      <c r="B285" s="352"/>
      <c r="C285" s="352"/>
      <c r="D285" s="353"/>
    </row>
    <row r="286">
      <c r="B286" s="352"/>
      <c r="C286" s="352"/>
      <c r="D286" s="353"/>
    </row>
    <row r="287">
      <c r="B287" s="352"/>
      <c r="C287" s="352"/>
      <c r="D287" s="353"/>
    </row>
    <row r="288">
      <c r="B288" s="352"/>
      <c r="C288" s="352"/>
      <c r="D288" s="353"/>
    </row>
    <row r="289">
      <c r="B289" s="352"/>
      <c r="C289" s="352"/>
      <c r="D289" s="353"/>
    </row>
    <row r="290">
      <c r="B290" s="352"/>
      <c r="C290" s="352"/>
      <c r="D290" s="353"/>
    </row>
    <row r="291">
      <c r="B291" s="352"/>
      <c r="C291" s="352"/>
      <c r="D291" s="353"/>
    </row>
    <row r="292">
      <c r="B292" s="352"/>
      <c r="C292" s="352"/>
      <c r="D292" s="353"/>
    </row>
    <row r="293">
      <c r="B293" s="352"/>
      <c r="C293" s="352"/>
      <c r="D293" s="353"/>
    </row>
    <row r="294">
      <c r="B294" s="352"/>
      <c r="C294" s="352"/>
      <c r="D294" s="353"/>
    </row>
    <row r="295">
      <c r="B295" s="352"/>
      <c r="C295" s="352"/>
      <c r="D295" s="353"/>
    </row>
    <row r="296">
      <c r="B296" s="352"/>
      <c r="C296" s="352"/>
      <c r="D296" s="353"/>
    </row>
    <row r="297">
      <c r="B297" s="352"/>
      <c r="C297" s="352"/>
      <c r="D297" s="353"/>
    </row>
    <row r="298">
      <c r="B298" s="352"/>
      <c r="C298" s="352"/>
      <c r="D298" s="353"/>
    </row>
    <row r="299">
      <c r="B299" s="352"/>
      <c r="C299" s="352"/>
      <c r="D299" s="353"/>
    </row>
    <row r="300">
      <c r="B300" s="352"/>
      <c r="C300" s="352"/>
      <c r="D300" s="353"/>
    </row>
    <row r="301">
      <c r="B301" s="352"/>
      <c r="C301" s="352"/>
      <c r="D301" s="353"/>
    </row>
    <row r="302">
      <c r="B302" s="352"/>
      <c r="C302" s="352"/>
      <c r="D302" s="353"/>
    </row>
    <row r="303">
      <c r="B303" s="352"/>
      <c r="C303" s="352"/>
      <c r="D303" s="353"/>
    </row>
    <row r="304">
      <c r="B304" s="352"/>
      <c r="C304" s="352"/>
      <c r="D304" s="353"/>
    </row>
    <row r="305">
      <c r="B305" s="352"/>
      <c r="C305" s="352"/>
      <c r="D305" s="353"/>
    </row>
    <row r="306">
      <c r="B306" s="352"/>
      <c r="C306" s="352"/>
      <c r="D306" s="353"/>
    </row>
    <row r="307">
      <c r="B307" s="352"/>
      <c r="C307" s="352"/>
      <c r="D307" s="353"/>
    </row>
    <row r="308">
      <c r="B308" s="352"/>
      <c r="C308" s="352"/>
      <c r="D308" s="353"/>
    </row>
    <row r="309">
      <c r="B309" s="352"/>
      <c r="C309" s="352"/>
      <c r="D309" s="353"/>
    </row>
    <row r="310">
      <c r="B310" s="352"/>
      <c r="C310" s="352"/>
      <c r="D310" s="353"/>
    </row>
    <row r="311">
      <c r="B311" s="352"/>
      <c r="C311" s="352"/>
      <c r="D311" s="353"/>
    </row>
    <row r="312">
      <c r="B312" s="352"/>
      <c r="C312" s="352"/>
      <c r="D312" s="353"/>
    </row>
    <row r="313">
      <c r="B313" s="352"/>
      <c r="C313" s="352"/>
      <c r="D313" s="353"/>
    </row>
    <row r="314">
      <c r="B314" s="352"/>
      <c r="C314" s="352"/>
      <c r="D314" s="353"/>
    </row>
    <row r="315">
      <c r="B315" s="352"/>
      <c r="C315" s="352"/>
      <c r="D315" s="353"/>
    </row>
    <row r="316">
      <c r="B316" s="352"/>
      <c r="C316" s="352"/>
      <c r="D316" s="353"/>
    </row>
    <row r="317">
      <c r="B317" s="352"/>
      <c r="C317" s="352"/>
      <c r="D317" s="353"/>
    </row>
    <row r="318">
      <c r="B318" s="352"/>
      <c r="C318" s="352"/>
      <c r="D318" s="353"/>
    </row>
    <row r="319">
      <c r="B319" s="352"/>
      <c r="C319" s="352"/>
      <c r="D319" s="353"/>
    </row>
    <row r="320">
      <c r="B320" s="352"/>
      <c r="C320" s="352"/>
      <c r="D320" s="353"/>
    </row>
    <row r="321">
      <c r="B321" s="352"/>
      <c r="C321" s="352"/>
      <c r="D321" s="353"/>
    </row>
    <row r="322">
      <c r="B322" s="352"/>
      <c r="C322" s="352"/>
      <c r="D322" s="353"/>
    </row>
    <row r="323">
      <c r="B323" s="352"/>
      <c r="C323" s="352"/>
      <c r="D323" s="353"/>
    </row>
    <row r="324">
      <c r="B324" s="352"/>
      <c r="C324" s="352"/>
      <c r="D324" s="353"/>
    </row>
    <row r="325">
      <c r="B325" s="352"/>
      <c r="C325" s="352"/>
      <c r="D325" s="353"/>
    </row>
    <row r="326">
      <c r="B326" s="352"/>
      <c r="C326" s="352"/>
      <c r="D326" s="353"/>
    </row>
    <row r="327">
      <c r="B327" s="352"/>
      <c r="C327" s="352"/>
      <c r="D327" s="353"/>
    </row>
    <row r="328">
      <c r="B328" s="352"/>
      <c r="C328" s="352"/>
      <c r="D328" s="353"/>
    </row>
    <row r="329">
      <c r="B329" s="352"/>
      <c r="C329" s="352"/>
      <c r="D329" s="353"/>
    </row>
    <row r="330">
      <c r="B330" s="352"/>
      <c r="C330" s="352"/>
      <c r="D330" s="353"/>
    </row>
    <row r="331">
      <c r="B331" s="352"/>
      <c r="C331" s="352"/>
      <c r="D331" s="353"/>
    </row>
    <row r="332">
      <c r="B332" s="352"/>
      <c r="C332" s="352"/>
      <c r="D332" s="353"/>
    </row>
    <row r="333">
      <c r="B333" s="352"/>
      <c r="C333" s="352"/>
      <c r="D333" s="353"/>
    </row>
    <row r="334">
      <c r="B334" s="352"/>
      <c r="C334" s="352"/>
      <c r="D334" s="353"/>
    </row>
    <row r="335">
      <c r="B335" s="352"/>
      <c r="C335" s="352"/>
      <c r="D335" s="353"/>
    </row>
    <row r="336">
      <c r="B336" s="352"/>
      <c r="C336" s="352"/>
      <c r="D336" s="353"/>
    </row>
    <row r="337">
      <c r="B337" s="352"/>
      <c r="C337" s="352"/>
      <c r="D337" s="353"/>
    </row>
    <row r="338">
      <c r="B338" s="352"/>
      <c r="C338" s="352"/>
      <c r="D338" s="353"/>
    </row>
    <row r="339">
      <c r="B339" s="352"/>
      <c r="C339" s="352"/>
      <c r="D339" s="353"/>
    </row>
    <row r="340">
      <c r="B340" s="352"/>
      <c r="C340" s="352"/>
      <c r="D340" s="353"/>
    </row>
    <row r="341">
      <c r="B341" s="352"/>
      <c r="C341" s="352"/>
      <c r="D341" s="353"/>
    </row>
    <row r="342">
      <c r="B342" s="352"/>
      <c r="C342" s="352"/>
      <c r="D342" s="353"/>
    </row>
    <row r="343">
      <c r="B343" s="352"/>
      <c r="C343" s="352"/>
      <c r="D343" s="353"/>
    </row>
    <row r="344">
      <c r="B344" s="352"/>
      <c r="C344" s="352"/>
      <c r="D344" s="353"/>
    </row>
    <row r="345">
      <c r="B345" s="352"/>
      <c r="C345" s="352"/>
      <c r="D345" s="353"/>
    </row>
    <row r="346">
      <c r="B346" s="352"/>
      <c r="C346" s="352"/>
      <c r="D346" s="353"/>
    </row>
    <row r="347">
      <c r="B347" s="352"/>
      <c r="C347" s="352"/>
      <c r="D347" s="353"/>
    </row>
    <row r="348">
      <c r="B348" s="352"/>
      <c r="C348" s="352"/>
      <c r="D348" s="353"/>
    </row>
    <row r="349">
      <c r="B349" s="352"/>
      <c r="C349" s="352"/>
      <c r="D349" s="353"/>
    </row>
    <row r="350">
      <c r="B350" s="352"/>
      <c r="C350" s="352"/>
      <c r="D350" s="353"/>
    </row>
    <row r="351">
      <c r="B351" s="352"/>
      <c r="C351" s="352"/>
      <c r="D351" s="353"/>
    </row>
    <row r="352">
      <c r="B352" s="352"/>
      <c r="C352" s="352"/>
      <c r="D352" s="353"/>
    </row>
    <row r="353">
      <c r="B353" s="352"/>
      <c r="C353" s="352"/>
      <c r="D353" s="353"/>
    </row>
    <row r="354">
      <c r="B354" s="352"/>
      <c r="C354" s="352"/>
      <c r="D354" s="353"/>
    </row>
    <row r="355">
      <c r="B355" s="352"/>
      <c r="C355" s="352"/>
      <c r="D355" s="353"/>
    </row>
    <row r="356">
      <c r="B356" s="352"/>
      <c r="C356" s="352"/>
      <c r="D356" s="353"/>
    </row>
    <row r="357">
      <c r="B357" s="352"/>
      <c r="C357" s="352"/>
      <c r="D357" s="353"/>
    </row>
    <row r="358">
      <c r="B358" s="352"/>
      <c r="C358" s="352"/>
      <c r="D358" s="353"/>
    </row>
    <row r="359">
      <c r="B359" s="352"/>
      <c r="C359" s="352"/>
      <c r="D359" s="353"/>
    </row>
    <row r="360">
      <c r="B360" s="352"/>
      <c r="C360" s="352"/>
      <c r="D360" s="353"/>
    </row>
    <row r="361">
      <c r="B361" s="352"/>
      <c r="C361" s="352"/>
      <c r="D361" s="353"/>
    </row>
    <row r="362">
      <c r="B362" s="352"/>
      <c r="C362" s="352"/>
      <c r="D362" s="353"/>
    </row>
    <row r="363">
      <c r="B363" s="352"/>
      <c r="C363" s="352"/>
      <c r="D363" s="353"/>
    </row>
    <row r="364">
      <c r="B364" s="352"/>
      <c r="C364" s="352"/>
      <c r="D364" s="353"/>
    </row>
    <row r="365">
      <c r="B365" s="352"/>
      <c r="C365" s="352"/>
      <c r="D365" s="353"/>
    </row>
    <row r="366">
      <c r="B366" s="352"/>
      <c r="C366" s="352"/>
      <c r="D366" s="353"/>
    </row>
    <row r="367">
      <c r="B367" s="352"/>
      <c r="C367" s="352"/>
      <c r="D367" s="353"/>
    </row>
    <row r="368">
      <c r="B368" s="352"/>
      <c r="C368" s="352"/>
      <c r="D368" s="353"/>
    </row>
    <row r="369">
      <c r="B369" s="352"/>
      <c r="C369" s="352"/>
      <c r="D369" s="353"/>
    </row>
    <row r="370">
      <c r="B370" s="352"/>
      <c r="C370" s="352"/>
      <c r="D370" s="353"/>
    </row>
    <row r="371">
      <c r="B371" s="352"/>
      <c r="C371" s="352"/>
      <c r="D371" s="353"/>
    </row>
    <row r="372">
      <c r="B372" s="352"/>
      <c r="C372" s="352"/>
      <c r="D372" s="353"/>
    </row>
    <row r="373">
      <c r="B373" s="352"/>
      <c r="C373" s="352"/>
      <c r="D373" s="353"/>
    </row>
    <row r="374">
      <c r="B374" s="352"/>
      <c r="C374" s="352"/>
      <c r="D374" s="353"/>
    </row>
    <row r="375">
      <c r="B375" s="352"/>
      <c r="C375" s="352"/>
      <c r="D375" s="353"/>
    </row>
    <row r="376">
      <c r="B376" s="352"/>
      <c r="C376" s="352"/>
      <c r="D376" s="353"/>
    </row>
    <row r="377">
      <c r="B377" s="352"/>
      <c r="C377" s="352"/>
      <c r="D377" s="353"/>
    </row>
    <row r="378">
      <c r="B378" s="352"/>
      <c r="C378" s="352"/>
      <c r="D378" s="353"/>
    </row>
    <row r="379">
      <c r="B379" s="352"/>
      <c r="C379" s="352"/>
      <c r="D379" s="353"/>
    </row>
    <row r="380">
      <c r="B380" s="352"/>
      <c r="C380" s="352"/>
      <c r="D380" s="353"/>
    </row>
    <row r="381">
      <c r="B381" s="352"/>
      <c r="C381" s="352"/>
      <c r="D381" s="353"/>
    </row>
    <row r="382">
      <c r="B382" s="352"/>
      <c r="C382" s="352"/>
      <c r="D382" s="353"/>
    </row>
    <row r="383">
      <c r="B383" s="352"/>
      <c r="C383" s="352"/>
      <c r="D383" s="353"/>
    </row>
    <row r="384">
      <c r="B384" s="352"/>
      <c r="C384" s="352"/>
      <c r="D384" s="353"/>
    </row>
    <row r="385">
      <c r="B385" s="352"/>
      <c r="C385" s="352"/>
      <c r="D385" s="353"/>
    </row>
    <row r="386">
      <c r="B386" s="352"/>
      <c r="C386" s="352"/>
      <c r="D386" s="353"/>
    </row>
    <row r="387">
      <c r="B387" s="352"/>
      <c r="C387" s="352"/>
      <c r="D387" s="353"/>
    </row>
    <row r="388">
      <c r="B388" s="352"/>
      <c r="C388" s="352"/>
      <c r="D388" s="353"/>
    </row>
    <row r="389">
      <c r="B389" s="352"/>
      <c r="C389" s="352"/>
      <c r="D389" s="353"/>
    </row>
    <row r="390">
      <c r="B390" s="352"/>
      <c r="C390" s="352"/>
      <c r="D390" s="353"/>
    </row>
    <row r="391">
      <c r="B391" s="352"/>
      <c r="C391" s="352"/>
      <c r="D391" s="353"/>
    </row>
    <row r="392">
      <c r="B392" s="352"/>
      <c r="C392" s="352"/>
      <c r="D392" s="353"/>
    </row>
    <row r="393">
      <c r="B393" s="352"/>
      <c r="C393" s="352"/>
      <c r="D393" s="353"/>
    </row>
    <row r="394">
      <c r="B394" s="352"/>
      <c r="C394" s="352"/>
      <c r="D394" s="353"/>
    </row>
    <row r="395">
      <c r="B395" s="352"/>
      <c r="C395" s="352"/>
      <c r="D395" s="353"/>
    </row>
    <row r="396">
      <c r="B396" s="352"/>
      <c r="C396" s="352"/>
      <c r="D396" s="353"/>
    </row>
    <row r="397">
      <c r="B397" s="352"/>
      <c r="C397" s="352"/>
      <c r="D397" s="353"/>
    </row>
    <row r="398">
      <c r="B398" s="352"/>
      <c r="C398" s="352"/>
      <c r="D398" s="353"/>
    </row>
    <row r="399">
      <c r="B399" s="352"/>
      <c r="C399" s="352"/>
      <c r="D399" s="353"/>
    </row>
    <row r="400">
      <c r="B400" s="352"/>
      <c r="C400" s="352"/>
      <c r="D400" s="353"/>
    </row>
    <row r="401">
      <c r="B401" s="352"/>
      <c r="C401" s="352"/>
      <c r="D401" s="353"/>
    </row>
    <row r="402">
      <c r="B402" s="352"/>
      <c r="C402" s="352"/>
      <c r="D402" s="353"/>
    </row>
    <row r="403">
      <c r="B403" s="352"/>
      <c r="C403" s="352"/>
      <c r="D403" s="353"/>
    </row>
    <row r="404">
      <c r="B404" s="352"/>
      <c r="C404" s="352"/>
      <c r="D404" s="353"/>
    </row>
    <row r="405">
      <c r="B405" s="352"/>
      <c r="C405" s="352"/>
      <c r="D405" s="353"/>
    </row>
    <row r="406">
      <c r="B406" s="352"/>
      <c r="C406" s="352"/>
      <c r="D406" s="353"/>
    </row>
    <row r="407">
      <c r="B407" s="352"/>
      <c r="C407" s="352"/>
      <c r="D407" s="353"/>
    </row>
    <row r="408">
      <c r="B408" s="352"/>
      <c r="C408" s="352"/>
      <c r="D408" s="353"/>
    </row>
    <row r="409">
      <c r="B409" s="352"/>
      <c r="C409" s="352"/>
      <c r="D409" s="353"/>
    </row>
    <row r="410">
      <c r="B410" s="352"/>
      <c r="C410" s="352"/>
      <c r="D410" s="353"/>
    </row>
    <row r="411">
      <c r="B411" s="352"/>
      <c r="C411" s="352"/>
      <c r="D411" s="353"/>
    </row>
    <row r="412">
      <c r="B412" s="352"/>
      <c r="C412" s="352"/>
      <c r="D412" s="353"/>
    </row>
    <row r="413">
      <c r="B413" s="352"/>
      <c r="C413" s="352"/>
      <c r="D413" s="353"/>
    </row>
    <row r="414">
      <c r="B414" s="352"/>
      <c r="C414" s="352"/>
      <c r="D414" s="353"/>
    </row>
    <row r="415">
      <c r="B415" s="352"/>
      <c r="C415" s="352"/>
      <c r="D415" s="353"/>
    </row>
    <row r="416">
      <c r="B416" s="352"/>
      <c r="C416" s="352"/>
      <c r="D416" s="353"/>
    </row>
    <row r="417">
      <c r="B417" s="352"/>
      <c r="C417" s="352"/>
      <c r="D417" s="353"/>
    </row>
    <row r="418">
      <c r="B418" s="352"/>
      <c r="C418" s="352"/>
      <c r="D418" s="353"/>
    </row>
    <row r="419">
      <c r="B419" s="352"/>
      <c r="C419" s="352"/>
      <c r="D419" s="353"/>
    </row>
    <row r="420">
      <c r="B420" s="352"/>
      <c r="C420" s="352"/>
      <c r="D420" s="353"/>
    </row>
    <row r="421">
      <c r="B421" s="352"/>
      <c r="C421" s="352"/>
      <c r="D421" s="353"/>
    </row>
    <row r="422">
      <c r="B422" s="352"/>
      <c r="C422" s="352"/>
      <c r="D422" s="353"/>
    </row>
    <row r="423">
      <c r="B423" s="352"/>
      <c r="C423" s="352"/>
      <c r="D423" s="353"/>
    </row>
    <row r="424">
      <c r="B424" s="352"/>
      <c r="C424" s="352"/>
      <c r="D424" s="353"/>
    </row>
    <row r="425">
      <c r="B425" s="352"/>
      <c r="C425" s="352"/>
      <c r="D425" s="353"/>
    </row>
    <row r="426">
      <c r="B426" s="352"/>
      <c r="C426" s="352"/>
      <c r="D426" s="353"/>
    </row>
    <row r="427">
      <c r="B427" s="352"/>
      <c r="C427" s="352"/>
      <c r="D427" s="353"/>
    </row>
    <row r="428">
      <c r="B428" s="352"/>
      <c r="C428" s="352"/>
      <c r="D428" s="353"/>
    </row>
    <row r="429">
      <c r="B429" s="352"/>
      <c r="C429" s="352"/>
      <c r="D429" s="353"/>
    </row>
    <row r="430">
      <c r="B430" s="352"/>
      <c r="C430" s="352"/>
      <c r="D430" s="353"/>
    </row>
    <row r="431">
      <c r="B431" s="352"/>
      <c r="C431" s="352"/>
      <c r="D431" s="353"/>
    </row>
    <row r="432">
      <c r="B432" s="352"/>
      <c r="C432" s="352"/>
      <c r="D432" s="353"/>
    </row>
    <row r="433">
      <c r="B433" s="352"/>
      <c r="C433" s="352"/>
      <c r="D433" s="353"/>
    </row>
    <row r="434">
      <c r="B434" s="352"/>
      <c r="C434" s="352"/>
      <c r="D434" s="353"/>
    </row>
    <row r="435">
      <c r="B435" s="352"/>
      <c r="C435" s="352"/>
      <c r="D435" s="353"/>
    </row>
    <row r="436">
      <c r="B436" s="352"/>
      <c r="C436" s="352"/>
      <c r="D436" s="353"/>
    </row>
    <row r="437">
      <c r="B437" s="352"/>
      <c r="C437" s="352"/>
      <c r="D437" s="353"/>
    </row>
    <row r="438">
      <c r="B438" s="352"/>
      <c r="C438" s="352"/>
      <c r="D438" s="353"/>
    </row>
    <row r="439">
      <c r="B439" s="352"/>
      <c r="C439" s="352"/>
      <c r="D439" s="353"/>
    </row>
    <row r="440">
      <c r="B440" s="352"/>
      <c r="C440" s="352"/>
      <c r="D440" s="353"/>
    </row>
    <row r="441">
      <c r="B441" s="352"/>
      <c r="C441" s="352"/>
      <c r="D441" s="353"/>
    </row>
    <row r="442">
      <c r="B442" s="352"/>
      <c r="C442" s="352"/>
      <c r="D442" s="353"/>
    </row>
    <row r="443">
      <c r="B443" s="352"/>
      <c r="C443" s="352"/>
      <c r="D443" s="353"/>
    </row>
    <row r="444">
      <c r="B444" s="352"/>
      <c r="C444" s="352"/>
      <c r="D444" s="353"/>
    </row>
    <row r="445">
      <c r="B445" s="352"/>
      <c r="C445" s="352"/>
      <c r="D445" s="353"/>
    </row>
    <row r="446">
      <c r="B446" s="352"/>
      <c r="C446" s="352"/>
      <c r="D446" s="353"/>
    </row>
    <row r="447">
      <c r="B447" s="352"/>
      <c r="C447" s="352"/>
      <c r="D447" s="353"/>
    </row>
    <row r="448">
      <c r="B448" s="352"/>
      <c r="C448" s="352"/>
      <c r="D448" s="353"/>
    </row>
    <row r="449">
      <c r="B449" s="352"/>
      <c r="C449" s="352"/>
      <c r="D449" s="353"/>
    </row>
    <row r="450">
      <c r="B450" s="352"/>
      <c r="C450" s="352"/>
      <c r="D450" s="353"/>
    </row>
    <row r="451">
      <c r="B451" s="352"/>
      <c r="C451" s="352"/>
      <c r="D451" s="353"/>
    </row>
    <row r="452">
      <c r="B452" s="352"/>
      <c r="C452" s="352"/>
      <c r="D452" s="353"/>
    </row>
    <row r="453">
      <c r="B453" s="352"/>
      <c r="C453" s="352"/>
      <c r="D453" s="353"/>
    </row>
    <row r="454">
      <c r="B454" s="352"/>
      <c r="C454" s="352"/>
      <c r="D454" s="353"/>
    </row>
    <row r="455">
      <c r="B455" s="352"/>
      <c r="C455" s="352"/>
      <c r="D455" s="353"/>
    </row>
    <row r="456">
      <c r="B456" s="352"/>
      <c r="C456" s="352"/>
      <c r="D456" s="353"/>
    </row>
    <row r="457">
      <c r="B457" s="352"/>
      <c r="C457" s="352"/>
      <c r="D457" s="353"/>
    </row>
    <row r="458">
      <c r="B458" s="352"/>
      <c r="C458" s="352"/>
      <c r="D458" s="353"/>
    </row>
    <row r="459">
      <c r="B459" s="352"/>
      <c r="C459" s="352"/>
      <c r="D459" s="353"/>
    </row>
    <row r="460">
      <c r="B460" s="352"/>
      <c r="C460" s="352"/>
      <c r="D460" s="353"/>
    </row>
    <row r="461">
      <c r="B461" s="352"/>
      <c r="C461" s="352"/>
      <c r="D461" s="353"/>
    </row>
    <row r="462">
      <c r="B462" s="352"/>
      <c r="C462" s="352"/>
      <c r="D462" s="353"/>
    </row>
    <row r="463">
      <c r="B463" s="352"/>
      <c r="C463" s="352"/>
      <c r="D463" s="353"/>
    </row>
    <row r="464">
      <c r="B464" s="352"/>
      <c r="C464" s="352"/>
      <c r="D464" s="353"/>
    </row>
    <row r="465">
      <c r="B465" s="352"/>
      <c r="C465" s="352"/>
      <c r="D465" s="353"/>
    </row>
    <row r="466">
      <c r="B466" s="352"/>
      <c r="C466" s="352"/>
      <c r="D466" s="353"/>
    </row>
    <row r="467">
      <c r="B467" s="352"/>
      <c r="C467" s="352"/>
      <c r="D467" s="353"/>
    </row>
    <row r="468">
      <c r="B468" s="352"/>
      <c r="C468" s="352"/>
      <c r="D468" s="353"/>
    </row>
    <row r="469">
      <c r="B469" s="352"/>
      <c r="C469" s="352"/>
      <c r="D469" s="353"/>
    </row>
    <row r="470">
      <c r="B470" s="352"/>
      <c r="C470" s="352"/>
      <c r="D470" s="353"/>
    </row>
    <row r="471">
      <c r="B471" s="352"/>
      <c r="C471" s="352"/>
      <c r="D471" s="353"/>
    </row>
    <row r="472">
      <c r="B472" s="352"/>
      <c r="C472" s="352"/>
      <c r="D472" s="353"/>
    </row>
    <row r="473">
      <c r="B473" s="352"/>
      <c r="C473" s="352"/>
      <c r="D473" s="353"/>
    </row>
    <row r="474">
      <c r="B474" s="352"/>
      <c r="C474" s="352"/>
      <c r="D474" s="353"/>
    </row>
    <row r="475">
      <c r="B475" s="352"/>
      <c r="C475" s="352"/>
      <c r="D475" s="353"/>
    </row>
    <row r="476">
      <c r="B476" s="352"/>
      <c r="C476" s="352"/>
      <c r="D476" s="353"/>
    </row>
    <row r="477">
      <c r="B477" s="352"/>
      <c r="C477" s="352"/>
      <c r="D477" s="353"/>
    </row>
    <row r="478">
      <c r="B478" s="352"/>
      <c r="C478" s="352"/>
      <c r="D478" s="353"/>
    </row>
    <row r="479">
      <c r="B479" s="352"/>
      <c r="C479" s="352"/>
      <c r="D479" s="353"/>
    </row>
    <row r="480">
      <c r="B480" s="352"/>
      <c r="C480" s="352"/>
      <c r="D480" s="353"/>
    </row>
    <row r="481">
      <c r="B481" s="352"/>
      <c r="C481" s="352"/>
      <c r="D481" s="353"/>
    </row>
    <row r="482">
      <c r="B482" s="352"/>
      <c r="C482" s="352"/>
      <c r="D482" s="353"/>
    </row>
    <row r="483">
      <c r="B483" s="352"/>
      <c r="C483" s="352"/>
      <c r="D483" s="353"/>
    </row>
    <row r="484">
      <c r="B484" s="352"/>
      <c r="C484" s="352"/>
      <c r="D484" s="353"/>
    </row>
    <row r="485">
      <c r="B485" s="352"/>
      <c r="C485" s="352"/>
      <c r="D485" s="353"/>
    </row>
    <row r="486">
      <c r="B486" s="352"/>
      <c r="C486" s="352"/>
      <c r="D486" s="353"/>
    </row>
    <row r="487">
      <c r="B487" s="352"/>
      <c r="C487" s="352"/>
      <c r="D487" s="353"/>
    </row>
    <row r="488">
      <c r="B488" s="352"/>
      <c r="C488" s="352"/>
      <c r="D488" s="353"/>
    </row>
    <row r="489">
      <c r="B489" s="352"/>
      <c r="C489" s="352"/>
      <c r="D489" s="353"/>
    </row>
    <row r="490">
      <c r="B490" s="352"/>
      <c r="C490" s="352"/>
      <c r="D490" s="353"/>
    </row>
    <row r="491">
      <c r="B491" s="352"/>
      <c r="C491" s="352"/>
      <c r="D491" s="353"/>
    </row>
    <row r="492">
      <c r="B492" s="352"/>
      <c r="C492" s="352"/>
      <c r="D492" s="353"/>
    </row>
    <row r="493">
      <c r="B493" s="352"/>
      <c r="C493" s="352"/>
      <c r="D493" s="353"/>
    </row>
    <row r="494">
      <c r="B494" s="352"/>
      <c r="C494" s="352"/>
      <c r="D494" s="353"/>
    </row>
    <row r="495">
      <c r="B495" s="352"/>
      <c r="C495" s="352"/>
      <c r="D495" s="353"/>
    </row>
    <row r="496">
      <c r="B496" s="352"/>
      <c r="C496" s="352"/>
      <c r="D496" s="353"/>
    </row>
    <row r="497">
      <c r="B497" s="352"/>
      <c r="C497" s="352"/>
      <c r="D497" s="353"/>
    </row>
    <row r="498">
      <c r="B498" s="352"/>
      <c r="C498" s="352"/>
      <c r="D498" s="353"/>
    </row>
    <row r="499">
      <c r="B499" s="352"/>
      <c r="C499" s="352"/>
      <c r="D499" s="353"/>
    </row>
    <row r="500">
      <c r="B500" s="352"/>
      <c r="C500" s="352"/>
      <c r="D500" s="353"/>
    </row>
    <row r="501">
      <c r="B501" s="352"/>
      <c r="C501" s="352"/>
      <c r="D501" s="353"/>
    </row>
    <row r="502">
      <c r="B502" s="352"/>
      <c r="C502" s="352"/>
      <c r="D502" s="353"/>
    </row>
    <row r="503">
      <c r="B503" s="352"/>
      <c r="C503" s="352"/>
      <c r="D503" s="353"/>
    </row>
    <row r="504">
      <c r="B504" s="352"/>
      <c r="C504" s="352"/>
      <c r="D504" s="353"/>
    </row>
    <row r="505">
      <c r="B505" s="352"/>
      <c r="C505" s="352"/>
      <c r="D505" s="353"/>
    </row>
    <row r="506">
      <c r="B506" s="352"/>
      <c r="C506" s="352"/>
      <c r="D506" s="353"/>
    </row>
    <row r="507">
      <c r="B507" s="352"/>
      <c r="C507" s="352"/>
      <c r="D507" s="353"/>
    </row>
    <row r="508">
      <c r="B508" s="352"/>
      <c r="C508" s="352"/>
      <c r="D508" s="353"/>
    </row>
    <row r="509">
      <c r="B509" s="352"/>
      <c r="C509" s="352"/>
      <c r="D509" s="353"/>
    </row>
    <row r="510">
      <c r="B510" s="352"/>
      <c r="C510" s="352"/>
      <c r="D510" s="353"/>
    </row>
    <row r="511">
      <c r="B511" s="352"/>
      <c r="C511" s="352"/>
      <c r="D511" s="353"/>
    </row>
    <row r="512">
      <c r="B512" s="352"/>
      <c r="C512" s="352"/>
      <c r="D512" s="353"/>
    </row>
    <row r="513">
      <c r="B513" s="352"/>
      <c r="C513" s="352"/>
      <c r="D513" s="353"/>
    </row>
    <row r="514">
      <c r="B514" s="352"/>
      <c r="C514" s="352"/>
      <c r="D514" s="353"/>
    </row>
    <row r="515">
      <c r="B515" s="352"/>
      <c r="C515" s="352"/>
      <c r="D515" s="353"/>
    </row>
    <row r="516">
      <c r="B516" s="352"/>
      <c r="C516" s="352"/>
      <c r="D516" s="353"/>
    </row>
    <row r="517">
      <c r="B517" s="352"/>
      <c r="C517" s="352"/>
      <c r="D517" s="353"/>
    </row>
    <row r="518">
      <c r="B518" s="352"/>
      <c r="C518" s="352"/>
      <c r="D518" s="353"/>
    </row>
    <row r="519">
      <c r="B519" s="352"/>
      <c r="C519" s="352"/>
      <c r="D519" s="353"/>
    </row>
    <row r="520">
      <c r="B520" s="352"/>
      <c r="C520" s="352"/>
      <c r="D520" s="353"/>
    </row>
    <row r="521">
      <c r="B521" s="352"/>
      <c r="C521" s="352"/>
      <c r="D521" s="353"/>
    </row>
    <row r="522">
      <c r="B522" s="352"/>
      <c r="C522" s="352"/>
      <c r="D522" s="353"/>
    </row>
    <row r="523">
      <c r="B523" s="352"/>
      <c r="C523" s="352"/>
      <c r="D523" s="353"/>
    </row>
    <row r="524">
      <c r="B524" s="352"/>
      <c r="C524" s="352"/>
      <c r="D524" s="353"/>
    </row>
    <row r="525">
      <c r="B525" s="352"/>
      <c r="C525" s="352"/>
      <c r="D525" s="353"/>
    </row>
    <row r="526">
      <c r="B526" s="352"/>
      <c r="C526" s="352"/>
      <c r="D526" s="353"/>
    </row>
    <row r="527">
      <c r="B527" s="352"/>
      <c r="C527" s="352"/>
      <c r="D527" s="353"/>
    </row>
    <row r="528">
      <c r="B528" s="352"/>
      <c r="C528" s="352"/>
      <c r="D528" s="353"/>
    </row>
    <row r="529">
      <c r="B529" s="352"/>
      <c r="C529" s="352"/>
      <c r="D529" s="353"/>
    </row>
    <row r="530">
      <c r="B530" s="352"/>
      <c r="C530" s="352"/>
      <c r="D530" s="353"/>
    </row>
    <row r="531">
      <c r="B531" s="352"/>
      <c r="C531" s="352"/>
      <c r="D531" s="353"/>
    </row>
    <row r="532">
      <c r="B532" s="352"/>
      <c r="C532" s="352"/>
      <c r="D532" s="353"/>
    </row>
    <row r="533">
      <c r="B533" s="352"/>
      <c r="C533" s="352"/>
      <c r="D533" s="353"/>
    </row>
    <row r="534">
      <c r="B534" s="352"/>
      <c r="C534" s="352"/>
      <c r="D534" s="353"/>
    </row>
    <row r="535">
      <c r="B535" s="352"/>
      <c r="C535" s="352"/>
      <c r="D535" s="353"/>
    </row>
    <row r="536">
      <c r="B536" s="352"/>
      <c r="C536" s="352"/>
      <c r="D536" s="353"/>
    </row>
    <row r="537">
      <c r="B537" s="352"/>
      <c r="C537" s="352"/>
      <c r="D537" s="353"/>
    </row>
    <row r="538">
      <c r="B538" s="352"/>
      <c r="C538" s="352"/>
      <c r="D538" s="353"/>
    </row>
    <row r="539">
      <c r="B539" s="352"/>
      <c r="C539" s="352"/>
      <c r="D539" s="353"/>
    </row>
    <row r="540">
      <c r="B540" s="352"/>
      <c r="C540" s="352"/>
      <c r="D540" s="353"/>
    </row>
    <row r="541">
      <c r="B541" s="352"/>
      <c r="C541" s="352"/>
      <c r="D541" s="353"/>
    </row>
    <row r="542">
      <c r="B542" s="352"/>
      <c r="C542" s="352"/>
      <c r="D542" s="353"/>
    </row>
    <row r="543">
      <c r="B543" s="352"/>
      <c r="C543" s="352"/>
      <c r="D543" s="353"/>
    </row>
    <row r="544">
      <c r="B544" s="352"/>
      <c r="C544" s="352"/>
      <c r="D544" s="353"/>
    </row>
    <row r="545">
      <c r="B545" s="352"/>
      <c r="C545" s="352"/>
      <c r="D545" s="353"/>
    </row>
    <row r="546">
      <c r="B546" s="352"/>
      <c r="C546" s="352"/>
      <c r="D546" s="353"/>
    </row>
    <row r="547">
      <c r="B547" s="352"/>
      <c r="C547" s="352"/>
      <c r="D547" s="353"/>
    </row>
    <row r="548">
      <c r="B548" s="352"/>
      <c r="C548" s="352"/>
      <c r="D548" s="353"/>
    </row>
    <row r="549">
      <c r="B549" s="352"/>
      <c r="C549" s="352"/>
      <c r="D549" s="353"/>
    </row>
    <row r="550">
      <c r="B550" s="352"/>
      <c r="C550" s="352"/>
      <c r="D550" s="353"/>
    </row>
    <row r="551">
      <c r="B551" s="352"/>
      <c r="C551" s="352"/>
      <c r="D551" s="353"/>
    </row>
    <row r="552">
      <c r="B552" s="352"/>
      <c r="C552" s="352"/>
      <c r="D552" s="353"/>
    </row>
    <row r="553">
      <c r="B553" s="352"/>
      <c r="C553" s="352"/>
      <c r="D553" s="353"/>
    </row>
    <row r="554">
      <c r="B554" s="352"/>
      <c r="C554" s="352"/>
      <c r="D554" s="353"/>
    </row>
    <row r="555">
      <c r="B555" s="352"/>
      <c r="C555" s="352"/>
      <c r="D555" s="353"/>
    </row>
    <row r="556">
      <c r="B556" s="352"/>
      <c r="C556" s="352"/>
      <c r="D556" s="353"/>
    </row>
    <row r="557">
      <c r="B557" s="352"/>
      <c r="C557" s="352"/>
      <c r="D557" s="353"/>
    </row>
    <row r="558">
      <c r="B558" s="352"/>
      <c r="C558" s="352"/>
      <c r="D558" s="353"/>
    </row>
    <row r="559">
      <c r="B559" s="352"/>
      <c r="C559" s="352"/>
      <c r="D559" s="353"/>
    </row>
    <row r="560">
      <c r="B560" s="352"/>
      <c r="C560" s="352"/>
      <c r="D560" s="353"/>
    </row>
    <row r="561">
      <c r="B561" s="352"/>
      <c r="C561" s="352"/>
      <c r="D561" s="353"/>
    </row>
    <row r="562">
      <c r="B562" s="352"/>
      <c r="C562" s="352"/>
      <c r="D562" s="353"/>
    </row>
    <row r="563">
      <c r="B563" s="352"/>
      <c r="C563" s="352"/>
      <c r="D563" s="353"/>
    </row>
    <row r="564">
      <c r="B564" s="352"/>
      <c r="C564" s="352"/>
      <c r="D564" s="353"/>
    </row>
    <row r="565">
      <c r="B565" s="352"/>
      <c r="C565" s="352"/>
      <c r="D565" s="353"/>
    </row>
    <row r="566">
      <c r="B566" s="352"/>
      <c r="C566" s="352"/>
      <c r="D566" s="353"/>
    </row>
    <row r="567">
      <c r="B567" s="352"/>
      <c r="C567" s="352"/>
      <c r="D567" s="353"/>
    </row>
    <row r="568">
      <c r="B568" s="352"/>
      <c r="C568" s="352"/>
      <c r="D568" s="353"/>
    </row>
    <row r="569">
      <c r="B569" s="352"/>
      <c r="C569" s="352"/>
      <c r="D569" s="353"/>
    </row>
    <row r="570">
      <c r="B570" s="352"/>
      <c r="C570" s="352"/>
      <c r="D570" s="353"/>
    </row>
    <row r="571">
      <c r="B571" s="352"/>
      <c r="C571" s="352"/>
      <c r="D571" s="353"/>
    </row>
    <row r="572">
      <c r="B572" s="352"/>
      <c r="C572" s="352"/>
      <c r="D572" s="353"/>
    </row>
    <row r="573">
      <c r="B573" s="352"/>
      <c r="C573" s="352"/>
      <c r="D573" s="353"/>
    </row>
    <row r="574">
      <c r="B574" s="352"/>
      <c r="C574" s="352"/>
      <c r="D574" s="353"/>
    </row>
    <row r="575">
      <c r="B575" s="352"/>
      <c r="C575" s="352"/>
      <c r="D575" s="353"/>
    </row>
    <row r="576">
      <c r="B576" s="352"/>
      <c r="C576" s="352"/>
      <c r="D576" s="353"/>
    </row>
    <row r="577">
      <c r="B577" s="352"/>
      <c r="C577" s="352"/>
      <c r="D577" s="353"/>
    </row>
    <row r="578">
      <c r="B578" s="352"/>
      <c r="C578" s="352"/>
      <c r="D578" s="353"/>
    </row>
    <row r="579">
      <c r="B579" s="352"/>
      <c r="C579" s="352"/>
      <c r="D579" s="353"/>
    </row>
    <row r="580">
      <c r="B580" s="352"/>
      <c r="C580" s="352"/>
      <c r="D580" s="353"/>
    </row>
    <row r="581">
      <c r="B581" s="352"/>
      <c r="C581" s="352"/>
      <c r="D581" s="353"/>
    </row>
    <row r="582">
      <c r="B582" s="352"/>
      <c r="C582" s="352"/>
      <c r="D582" s="353"/>
    </row>
    <row r="583">
      <c r="B583" s="352"/>
      <c r="C583" s="352"/>
      <c r="D583" s="353"/>
    </row>
    <row r="584">
      <c r="B584" s="352"/>
      <c r="C584" s="352"/>
      <c r="D584" s="353"/>
    </row>
    <row r="585">
      <c r="B585" s="352"/>
      <c r="C585" s="352"/>
      <c r="D585" s="353"/>
    </row>
    <row r="586">
      <c r="B586" s="352"/>
      <c r="C586" s="352"/>
      <c r="D586" s="353"/>
    </row>
    <row r="587">
      <c r="B587" s="352"/>
      <c r="C587" s="352"/>
      <c r="D587" s="353"/>
    </row>
    <row r="588">
      <c r="B588" s="352"/>
      <c r="C588" s="352"/>
      <c r="D588" s="353"/>
    </row>
    <row r="589">
      <c r="B589" s="352"/>
      <c r="C589" s="352"/>
      <c r="D589" s="353"/>
    </row>
    <row r="590">
      <c r="B590" s="352"/>
      <c r="C590" s="352"/>
      <c r="D590" s="353"/>
    </row>
    <row r="591">
      <c r="B591" s="352"/>
      <c r="C591" s="352"/>
      <c r="D591" s="353"/>
    </row>
    <row r="592">
      <c r="B592" s="352"/>
      <c r="C592" s="352"/>
      <c r="D592" s="353"/>
    </row>
    <row r="593">
      <c r="B593" s="352"/>
      <c r="C593" s="352"/>
      <c r="D593" s="353"/>
    </row>
    <row r="594">
      <c r="B594" s="352"/>
      <c r="C594" s="352"/>
      <c r="D594" s="353"/>
    </row>
    <row r="595">
      <c r="B595" s="352"/>
      <c r="C595" s="352"/>
      <c r="D595" s="353"/>
    </row>
    <row r="596">
      <c r="B596" s="352"/>
      <c r="C596" s="352"/>
      <c r="D596" s="353"/>
    </row>
    <row r="597">
      <c r="B597" s="352"/>
      <c r="C597" s="352"/>
      <c r="D597" s="353"/>
    </row>
    <row r="598">
      <c r="B598" s="352"/>
      <c r="C598" s="352"/>
      <c r="D598" s="353"/>
    </row>
    <row r="599">
      <c r="B599" s="352"/>
      <c r="C599" s="352"/>
      <c r="D599" s="353"/>
    </row>
    <row r="600">
      <c r="B600" s="352"/>
      <c r="C600" s="352"/>
      <c r="D600" s="353"/>
    </row>
    <row r="601">
      <c r="B601" s="352"/>
      <c r="C601" s="352"/>
      <c r="D601" s="353"/>
    </row>
    <row r="602">
      <c r="B602" s="352"/>
      <c r="C602" s="352"/>
      <c r="D602" s="353"/>
    </row>
    <row r="603">
      <c r="B603" s="352"/>
      <c r="C603" s="352"/>
      <c r="D603" s="353"/>
    </row>
    <row r="604">
      <c r="B604" s="352"/>
      <c r="C604" s="352"/>
      <c r="D604" s="353"/>
    </row>
    <row r="605">
      <c r="B605" s="352"/>
      <c r="C605" s="352"/>
      <c r="D605" s="353"/>
    </row>
    <row r="606">
      <c r="B606" s="352"/>
      <c r="C606" s="352"/>
      <c r="D606" s="353"/>
    </row>
    <row r="607">
      <c r="B607" s="352"/>
      <c r="C607" s="352"/>
      <c r="D607" s="353"/>
    </row>
    <row r="608">
      <c r="B608" s="352"/>
      <c r="C608" s="352"/>
      <c r="D608" s="353"/>
    </row>
    <row r="609">
      <c r="B609" s="352"/>
      <c r="C609" s="352"/>
      <c r="D609" s="353"/>
    </row>
    <row r="610">
      <c r="B610" s="352"/>
      <c r="C610" s="352"/>
      <c r="D610" s="353"/>
    </row>
    <row r="611">
      <c r="B611" s="352"/>
      <c r="C611" s="352"/>
      <c r="D611" s="353"/>
    </row>
    <row r="612">
      <c r="B612" s="352"/>
      <c r="C612" s="352"/>
      <c r="D612" s="353"/>
    </row>
    <row r="613">
      <c r="B613" s="352"/>
      <c r="C613" s="352"/>
      <c r="D613" s="353"/>
    </row>
    <row r="614">
      <c r="B614" s="352"/>
      <c r="C614" s="352"/>
      <c r="D614" s="353"/>
    </row>
    <row r="615">
      <c r="B615" s="352"/>
      <c r="C615" s="352"/>
      <c r="D615" s="353"/>
    </row>
    <row r="616">
      <c r="B616" s="352"/>
      <c r="C616" s="352"/>
      <c r="D616" s="353"/>
    </row>
    <row r="617">
      <c r="B617" s="352"/>
      <c r="C617" s="352"/>
      <c r="D617" s="353"/>
    </row>
    <row r="618">
      <c r="B618" s="352"/>
      <c r="C618" s="352"/>
      <c r="D618" s="353"/>
    </row>
    <row r="619">
      <c r="B619" s="352"/>
      <c r="C619" s="352"/>
      <c r="D619" s="353"/>
    </row>
    <row r="620">
      <c r="B620" s="352"/>
      <c r="C620" s="352"/>
      <c r="D620" s="353"/>
    </row>
    <row r="621">
      <c r="B621" s="352"/>
      <c r="C621" s="352"/>
      <c r="D621" s="353"/>
    </row>
    <row r="622">
      <c r="B622" s="352"/>
      <c r="C622" s="352"/>
      <c r="D622" s="353"/>
    </row>
    <row r="623">
      <c r="B623" s="352"/>
      <c r="C623" s="352"/>
      <c r="D623" s="353"/>
    </row>
    <row r="624">
      <c r="B624" s="352"/>
      <c r="C624" s="352"/>
      <c r="D624" s="353"/>
    </row>
    <row r="625">
      <c r="B625" s="352"/>
      <c r="C625" s="352"/>
      <c r="D625" s="353"/>
    </row>
    <row r="626">
      <c r="B626" s="352"/>
      <c r="C626" s="352"/>
      <c r="D626" s="353"/>
    </row>
    <row r="627">
      <c r="B627" s="352"/>
      <c r="C627" s="352"/>
      <c r="D627" s="353"/>
    </row>
    <row r="628">
      <c r="B628" s="352"/>
      <c r="C628" s="352"/>
      <c r="D628" s="353"/>
    </row>
    <row r="629">
      <c r="B629" s="352"/>
      <c r="C629" s="352"/>
      <c r="D629" s="353"/>
    </row>
    <row r="630">
      <c r="B630" s="352"/>
      <c r="C630" s="352"/>
      <c r="D630" s="353"/>
    </row>
    <row r="631">
      <c r="B631" s="352"/>
      <c r="C631" s="352"/>
      <c r="D631" s="353"/>
    </row>
    <row r="632">
      <c r="B632" s="352"/>
      <c r="C632" s="352"/>
      <c r="D632" s="353"/>
    </row>
    <row r="633">
      <c r="B633" s="352"/>
      <c r="C633" s="352"/>
      <c r="D633" s="353"/>
    </row>
    <row r="634">
      <c r="B634" s="352"/>
      <c r="C634" s="352"/>
      <c r="D634" s="353"/>
    </row>
    <row r="635">
      <c r="B635" s="352"/>
      <c r="C635" s="352"/>
      <c r="D635" s="353"/>
    </row>
    <row r="636">
      <c r="B636" s="352"/>
      <c r="C636" s="352"/>
      <c r="D636" s="353"/>
    </row>
    <row r="637">
      <c r="B637" s="352"/>
      <c r="C637" s="352"/>
      <c r="D637" s="353"/>
    </row>
    <row r="638">
      <c r="B638" s="352"/>
      <c r="C638" s="352"/>
      <c r="D638" s="353"/>
    </row>
    <row r="639">
      <c r="B639" s="352"/>
      <c r="C639" s="352"/>
      <c r="D639" s="353"/>
    </row>
    <row r="640">
      <c r="B640" s="352"/>
      <c r="C640" s="352"/>
      <c r="D640" s="353"/>
    </row>
    <row r="641">
      <c r="B641" s="352"/>
      <c r="C641" s="352"/>
      <c r="D641" s="353"/>
    </row>
    <row r="642">
      <c r="B642" s="352"/>
      <c r="C642" s="352"/>
      <c r="D642" s="353"/>
    </row>
    <row r="643">
      <c r="B643" s="352"/>
      <c r="C643" s="352"/>
      <c r="D643" s="353"/>
    </row>
    <row r="644">
      <c r="B644" s="352"/>
      <c r="C644" s="352"/>
      <c r="D644" s="353"/>
    </row>
    <row r="645">
      <c r="B645" s="352"/>
      <c r="C645" s="352"/>
      <c r="D645" s="353"/>
    </row>
    <row r="646">
      <c r="B646" s="352"/>
      <c r="C646" s="352"/>
      <c r="D646" s="353"/>
    </row>
    <row r="647">
      <c r="B647" s="352"/>
      <c r="C647" s="352"/>
      <c r="D647" s="353"/>
    </row>
    <row r="648">
      <c r="B648" s="352"/>
      <c r="C648" s="352"/>
      <c r="D648" s="353"/>
    </row>
    <row r="649">
      <c r="B649" s="352"/>
      <c r="C649" s="352"/>
      <c r="D649" s="353"/>
    </row>
    <row r="650">
      <c r="B650" s="352"/>
      <c r="C650" s="352"/>
      <c r="D650" s="353"/>
    </row>
    <row r="651">
      <c r="B651" s="352"/>
      <c r="C651" s="352"/>
      <c r="D651" s="353"/>
    </row>
    <row r="652">
      <c r="B652" s="352"/>
      <c r="C652" s="352"/>
      <c r="D652" s="353"/>
    </row>
    <row r="653">
      <c r="B653" s="352"/>
      <c r="C653" s="352"/>
      <c r="D653" s="353"/>
    </row>
    <row r="654">
      <c r="B654" s="352"/>
      <c r="C654" s="352"/>
      <c r="D654" s="353"/>
    </row>
    <row r="655">
      <c r="B655" s="352"/>
      <c r="C655" s="352"/>
      <c r="D655" s="353"/>
    </row>
    <row r="656">
      <c r="B656" s="352"/>
      <c r="C656" s="352"/>
      <c r="D656" s="353"/>
    </row>
    <row r="657">
      <c r="B657" s="352"/>
      <c r="C657" s="352"/>
      <c r="D657" s="353"/>
    </row>
    <row r="658">
      <c r="B658" s="352"/>
      <c r="C658" s="352"/>
      <c r="D658" s="353"/>
    </row>
    <row r="659">
      <c r="B659" s="352"/>
      <c r="C659" s="352"/>
      <c r="D659" s="353"/>
    </row>
    <row r="660">
      <c r="B660" s="352"/>
      <c r="C660" s="352"/>
      <c r="D660" s="353"/>
    </row>
    <row r="661">
      <c r="B661" s="352"/>
      <c r="C661" s="352"/>
      <c r="D661" s="353"/>
    </row>
    <row r="662">
      <c r="B662" s="352"/>
      <c r="C662" s="352"/>
      <c r="D662" s="353"/>
    </row>
    <row r="663">
      <c r="B663" s="352"/>
      <c r="C663" s="352"/>
      <c r="D663" s="353"/>
    </row>
    <row r="664">
      <c r="B664" s="352"/>
      <c r="C664" s="352"/>
      <c r="D664" s="353"/>
    </row>
    <row r="665">
      <c r="B665" s="352"/>
      <c r="C665" s="352"/>
      <c r="D665" s="353"/>
    </row>
    <row r="666">
      <c r="B666" s="352"/>
      <c r="C666" s="352"/>
      <c r="D666" s="353"/>
    </row>
    <row r="667">
      <c r="B667" s="352"/>
      <c r="C667" s="352"/>
      <c r="D667" s="353"/>
    </row>
    <row r="668">
      <c r="B668" s="352"/>
      <c r="C668" s="352"/>
      <c r="D668" s="353"/>
    </row>
    <row r="669">
      <c r="B669" s="352"/>
      <c r="C669" s="352"/>
      <c r="D669" s="353"/>
    </row>
    <row r="670">
      <c r="B670" s="352"/>
      <c r="C670" s="352"/>
      <c r="D670" s="353"/>
    </row>
    <row r="671">
      <c r="B671" s="352"/>
      <c r="C671" s="352"/>
      <c r="D671" s="353"/>
    </row>
    <row r="672">
      <c r="B672" s="352"/>
      <c r="C672" s="352"/>
      <c r="D672" s="353"/>
    </row>
    <row r="673">
      <c r="B673" s="352"/>
      <c r="C673" s="352"/>
      <c r="D673" s="353"/>
    </row>
    <row r="674">
      <c r="B674" s="352"/>
      <c r="C674" s="352"/>
      <c r="D674" s="353"/>
    </row>
    <row r="675">
      <c r="B675" s="352"/>
      <c r="C675" s="352"/>
      <c r="D675" s="353"/>
    </row>
    <row r="676">
      <c r="B676" s="352"/>
      <c r="C676" s="352"/>
      <c r="D676" s="353"/>
    </row>
    <row r="677">
      <c r="B677" s="352"/>
      <c r="C677" s="352"/>
      <c r="D677" s="353"/>
    </row>
    <row r="678">
      <c r="B678" s="352"/>
      <c r="C678" s="352"/>
      <c r="D678" s="353"/>
    </row>
    <row r="679">
      <c r="B679" s="352"/>
      <c r="C679" s="352"/>
      <c r="D679" s="353"/>
    </row>
    <row r="680">
      <c r="B680" s="352"/>
      <c r="C680" s="352"/>
      <c r="D680" s="353"/>
    </row>
    <row r="681">
      <c r="B681" s="352"/>
      <c r="C681" s="352"/>
      <c r="D681" s="353"/>
    </row>
    <row r="682">
      <c r="B682" s="352"/>
      <c r="C682" s="352"/>
      <c r="D682" s="353"/>
    </row>
    <row r="683">
      <c r="B683" s="352"/>
      <c r="C683" s="352"/>
      <c r="D683" s="353"/>
    </row>
    <row r="684">
      <c r="B684" s="352"/>
      <c r="C684" s="352"/>
      <c r="D684" s="353"/>
    </row>
    <row r="685">
      <c r="B685" s="352"/>
      <c r="C685" s="352"/>
      <c r="D685" s="353"/>
    </row>
    <row r="686">
      <c r="B686" s="352"/>
      <c r="C686" s="352"/>
      <c r="D686" s="353"/>
    </row>
    <row r="687">
      <c r="B687" s="352"/>
      <c r="C687" s="352"/>
      <c r="D687" s="353"/>
    </row>
    <row r="688">
      <c r="B688" s="352"/>
      <c r="C688" s="352"/>
      <c r="D688" s="353"/>
    </row>
    <row r="689">
      <c r="B689" s="352"/>
      <c r="C689" s="352"/>
      <c r="D689" s="353"/>
    </row>
    <row r="690">
      <c r="B690" s="352"/>
      <c r="C690" s="352"/>
      <c r="D690" s="353"/>
    </row>
    <row r="691">
      <c r="B691" s="352"/>
      <c r="C691" s="352"/>
      <c r="D691" s="353"/>
    </row>
    <row r="692">
      <c r="B692" s="352"/>
      <c r="C692" s="352"/>
      <c r="D692" s="353"/>
    </row>
    <row r="693">
      <c r="B693" s="352"/>
      <c r="C693" s="352"/>
      <c r="D693" s="353"/>
    </row>
    <row r="694">
      <c r="B694" s="352"/>
      <c r="C694" s="352"/>
      <c r="D694" s="353"/>
    </row>
    <row r="695">
      <c r="B695" s="352"/>
      <c r="C695" s="352"/>
      <c r="D695" s="353"/>
    </row>
    <row r="696">
      <c r="B696" s="352"/>
      <c r="C696" s="352"/>
      <c r="D696" s="353"/>
    </row>
    <row r="697">
      <c r="B697" s="352"/>
      <c r="C697" s="352"/>
      <c r="D697" s="353"/>
    </row>
    <row r="698">
      <c r="B698" s="352"/>
      <c r="C698" s="352"/>
      <c r="D698" s="353"/>
    </row>
    <row r="699">
      <c r="B699" s="352"/>
      <c r="C699" s="352"/>
      <c r="D699" s="353"/>
    </row>
    <row r="700">
      <c r="B700" s="352"/>
      <c r="C700" s="352"/>
      <c r="D700" s="353"/>
    </row>
    <row r="701">
      <c r="B701" s="352"/>
      <c r="C701" s="352"/>
      <c r="D701" s="353"/>
    </row>
    <row r="702">
      <c r="B702" s="352"/>
      <c r="C702" s="352"/>
      <c r="D702" s="353"/>
    </row>
    <row r="703">
      <c r="B703" s="352"/>
      <c r="C703" s="352"/>
      <c r="D703" s="353"/>
    </row>
    <row r="704">
      <c r="B704" s="352"/>
      <c r="C704" s="352"/>
      <c r="D704" s="353"/>
    </row>
    <row r="705">
      <c r="B705" s="352"/>
      <c r="C705" s="352"/>
      <c r="D705" s="353"/>
    </row>
    <row r="706">
      <c r="B706" s="352"/>
      <c r="C706" s="352"/>
      <c r="D706" s="353"/>
    </row>
    <row r="707">
      <c r="B707" s="352"/>
      <c r="C707" s="352"/>
      <c r="D707" s="353"/>
    </row>
    <row r="708">
      <c r="B708" s="352"/>
      <c r="C708" s="352"/>
      <c r="D708" s="353"/>
    </row>
    <row r="709">
      <c r="B709" s="352"/>
      <c r="C709" s="352"/>
      <c r="D709" s="353"/>
    </row>
    <row r="710">
      <c r="B710" s="352"/>
      <c r="C710" s="352"/>
      <c r="D710" s="353"/>
    </row>
    <row r="711">
      <c r="B711" s="352"/>
      <c r="C711" s="352"/>
      <c r="D711" s="353"/>
    </row>
    <row r="712">
      <c r="B712" s="352"/>
      <c r="C712" s="352"/>
      <c r="D712" s="353"/>
    </row>
    <row r="713">
      <c r="B713" s="352"/>
      <c r="C713" s="352"/>
      <c r="D713" s="353"/>
    </row>
    <row r="714">
      <c r="B714" s="352"/>
      <c r="C714" s="352"/>
      <c r="D714" s="353"/>
    </row>
    <row r="715">
      <c r="B715" s="352"/>
      <c r="C715" s="352"/>
      <c r="D715" s="353"/>
    </row>
    <row r="716">
      <c r="B716" s="352"/>
      <c r="C716" s="352"/>
      <c r="D716" s="353"/>
    </row>
    <row r="717">
      <c r="B717" s="352"/>
      <c r="C717" s="352"/>
      <c r="D717" s="353"/>
    </row>
    <row r="718">
      <c r="B718" s="352"/>
      <c r="C718" s="352"/>
      <c r="D718" s="353"/>
    </row>
    <row r="719">
      <c r="B719" s="352"/>
      <c r="C719" s="352"/>
      <c r="D719" s="353"/>
    </row>
    <row r="720">
      <c r="B720" s="352"/>
      <c r="C720" s="352"/>
      <c r="D720" s="353"/>
    </row>
    <row r="721">
      <c r="B721" s="352"/>
      <c r="C721" s="352"/>
      <c r="D721" s="353"/>
    </row>
    <row r="722">
      <c r="B722" s="352"/>
      <c r="C722" s="352"/>
      <c r="D722" s="353"/>
    </row>
    <row r="723">
      <c r="B723" s="352"/>
      <c r="C723" s="352"/>
      <c r="D723" s="353"/>
    </row>
    <row r="724">
      <c r="B724" s="352"/>
      <c r="C724" s="352"/>
      <c r="D724" s="353"/>
    </row>
    <row r="725">
      <c r="B725" s="352"/>
      <c r="C725" s="352"/>
      <c r="D725" s="353"/>
    </row>
    <row r="726">
      <c r="B726" s="352"/>
      <c r="C726" s="352"/>
      <c r="D726" s="353"/>
    </row>
    <row r="727">
      <c r="B727" s="352"/>
      <c r="C727" s="352"/>
      <c r="D727" s="353"/>
    </row>
    <row r="728">
      <c r="B728" s="352"/>
      <c r="C728" s="352"/>
      <c r="D728" s="353"/>
    </row>
    <row r="729">
      <c r="B729" s="352"/>
      <c r="C729" s="352"/>
      <c r="D729" s="353"/>
    </row>
    <row r="730">
      <c r="B730" s="352"/>
      <c r="C730" s="352"/>
      <c r="D730" s="353"/>
    </row>
    <row r="731">
      <c r="B731" s="352"/>
      <c r="C731" s="352"/>
      <c r="D731" s="353"/>
    </row>
    <row r="732">
      <c r="B732" s="352"/>
      <c r="C732" s="352"/>
      <c r="D732" s="353"/>
    </row>
    <row r="733">
      <c r="B733" s="352"/>
      <c r="C733" s="352"/>
      <c r="D733" s="353"/>
    </row>
    <row r="734">
      <c r="B734" s="352"/>
      <c r="C734" s="352"/>
      <c r="D734" s="353"/>
    </row>
    <row r="735">
      <c r="B735" s="352"/>
      <c r="C735" s="352"/>
      <c r="D735" s="353"/>
    </row>
    <row r="736">
      <c r="B736" s="352"/>
      <c r="C736" s="352"/>
      <c r="D736" s="353"/>
    </row>
    <row r="737">
      <c r="B737" s="352"/>
      <c r="C737" s="352"/>
      <c r="D737" s="353"/>
    </row>
    <row r="738">
      <c r="B738" s="352"/>
      <c r="C738" s="352"/>
      <c r="D738" s="353"/>
    </row>
    <row r="739">
      <c r="B739" s="352"/>
      <c r="C739" s="352"/>
      <c r="D739" s="353"/>
    </row>
    <row r="740">
      <c r="B740" s="352"/>
      <c r="C740" s="352"/>
      <c r="D740" s="353"/>
    </row>
    <row r="741">
      <c r="B741" s="352"/>
      <c r="C741" s="352"/>
      <c r="D741" s="353"/>
    </row>
    <row r="742">
      <c r="B742" s="352"/>
      <c r="C742" s="352"/>
      <c r="D742" s="353"/>
    </row>
    <row r="743">
      <c r="B743" s="352"/>
      <c r="C743" s="352"/>
      <c r="D743" s="353"/>
    </row>
    <row r="744">
      <c r="B744" s="352"/>
      <c r="C744" s="352"/>
      <c r="D744" s="353"/>
    </row>
    <row r="745">
      <c r="B745" s="352"/>
      <c r="C745" s="352"/>
      <c r="D745" s="353"/>
    </row>
    <row r="746">
      <c r="B746" s="352"/>
      <c r="C746" s="352"/>
      <c r="D746" s="353"/>
    </row>
    <row r="747">
      <c r="B747" s="352"/>
      <c r="C747" s="352"/>
      <c r="D747" s="353"/>
    </row>
    <row r="748">
      <c r="B748" s="352"/>
      <c r="C748" s="352"/>
      <c r="D748" s="353"/>
    </row>
    <row r="749">
      <c r="B749" s="352"/>
      <c r="C749" s="352"/>
      <c r="D749" s="353"/>
    </row>
    <row r="750">
      <c r="B750" s="352"/>
      <c r="C750" s="352"/>
      <c r="D750" s="353"/>
    </row>
    <row r="751">
      <c r="B751" s="352"/>
      <c r="C751" s="352"/>
      <c r="D751" s="353"/>
    </row>
    <row r="752">
      <c r="B752" s="352"/>
      <c r="C752" s="352"/>
      <c r="D752" s="353"/>
    </row>
    <row r="753">
      <c r="B753" s="352"/>
      <c r="C753" s="352"/>
      <c r="D753" s="353"/>
    </row>
    <row r="754">
      <c r="B754" s="352"/>
      <c r="C754" s="352"/>
      <c r="D754" s="353"/>
    </row>
    <row r="755">
      <c r="B755" s="352"/>
      <c r="C755" s="352"/>
      <c r="D755" s="353"/>
    </row>
    <row r="756">
      <c r="B756" s="352"/>
      <c r="C756" s="352"/>
      <c r="D756" s="353"/>
    </row>
    <row r="757">
      <c r="B757" s="352"/>
      <c r="C757" s="352"/>
      <c r="D757" s="353"/>
    </row>
    <row r="758">
      <c r="B758" s="352"/>
      <c r="C758" s="352"/>
      <c r="D758" s="353"/>
    </row>
    <row r="759">
      <c r="B759" s="352"/>
      <c r="C759" s="352"/>
      <c r="D759" s="353"/>
    </row>
    <row r="760">
      <c r="B760" s="352"/>
      <c r="C760" s="352"/>
      <c r="D760" s="353"/>
    </row>
    <row r="761">
      <c r="B761" s="352"/>
      <c r="C761" s="352"/>
      <c r="D761" s="353"/>
    </row>
    <row r="762">
      <c r="B762" s="352"/>
      <c r="C762" s="352"/>
      <c r="D762" s="353"/>
    </row>
    <row r="763">
      <c r="B763" s="352"/>
      <c r="C763" s="352"/>
      <c r="D763" s="353"/>
    </row>
    <row r="764">
      <c r="B764" s="352"/>
      <c r="C764" s="352"/>
      <c r="D764" s="353"/>
    </row>
    <row r="765">
      <c r="B765" s="352"/>
      <c r="C765" s="352"/>
      <c r="D765" s="353"/>
    </row>
    <row r="766">
      <c r="B766" s="352"/>
      <c r="C766" s="352"/>
      <c r="D766" s="353"/>
    </row>
    <row r="767">
      <c r="B767" s="352"/>
      <c r="C767" s="352"/>
      <c r="D767" s="353"/>
    </row>
    <row r="768">
      <c r="B768" s="352"/>
      <c r="C768" s="352"/>
      <c r="D768" s="353"/>
    </row>
    <row r="769">
      <c r="B769" s="352"/>
      <c r="C769" s="352"/>
      <c r="D769" s="353"/>
    </row>
    <row r="770">
      <c r="B770" s="352"/>
      <c r="C770" s="352"/>
      <c r="D770" s="353"/>
    </row>
    <row r="771">
      <c r="B771" s="352"/>
      <c r="C771" s="352"/>
      <c r="D771" s="353"/>
    </row>
    <row r="772">
      <c r="B772" s="352"/>
      <c r="C772" s="352"/>
      <c r="D772" s="353"/>
    </row>
    <row r="773">
      <c r="B773" s="352"/>
      <c r="C773" s="352"/>
      <c r="D773" s="353"/>
    </row>
    <row r="774">
      <c r="B774" s="352"/>
      <c r="C774" s="352"/>
      <c r="D774" s="353"/>
    </row>
    <row r="775">
      <c r="B775" s="352"/>
      <c r="C775" s="352"/>
      <c r="D775" s="353"/>
    </row>
    <row r="776">
      <c r="B776" s="352"/>
      <c r="C776" s="352"/>
      <c r="D776" s="353"/>
    </row>
    <row r="777">
      <c r="B777" s="352"/>
      <c r="C777" s="352"/>
      <c r="D777" s="353"/>
    </row>
    <row r="778">
      <c r="B778" s="352"/>
      <c r="C778" s="352"/>
      <c r="D778" s="353"/>
    </row>
    <row r="779">
      <c r="B779" s="352"/>
      <c r="C779" s="352"/>
      <c r="D779" s="353"/>
    </row>
    <row r="780">
      <c r="B780" s="352"/>
      <c r="C780" s="352"/>
      <c r="D780" s="353"/>
    </row>
    <row r="781">
      <c r="B781" s="352"/>
      <c r="C781" s="352"/>
      <c r="D781" s="353"/>
    </row>
    <row r="782">
      <c r="B782" s="352"/>
      <c r="C782" s="352"/>
      <c r="D782" s="353"/>
    </row>
    <row r="783">
      <c r="B783" s="352"/>
      <c r="C783" s="352"/>
      <c r="D783" s="353"/>
    </row>
    <row r="784">
      <c r="B784" s="352"/>
      <c r="C784" s="352"/>
      <c r="D784" s="353"/>
    </row>
    <row r="785">
      <c r="B785" s="352"/>
      <c r="C785" s="352"/>
      <c r="D785" s="353"/>
    </row>
    <row r="786">
      <c r="B786" s="352"/>
      <c r="C786" s="352"/>
      <c r="D786" s="353"/>
    </row>
    <row r="787">
      <c r="B787" s="352"/>
      <c r="C787" s="352"/>
      <c r="D787" s="353"/>
    </row>
    <row r="788">
      <c r="B788" s="352"/>
      <c r="C788" s="352"/>
      <c r="D788" s="353"/>
    </row>
    <row r="789">
      <c r="B789" s="352"/>
      <c r="C789" s="352"/>
      <c r="D789" s="353"/>
    </row>
    <row r="790">
      <c r="B790" s="352"/>
      <c r="C790" s="352"/>
      <c r="D790" s="353"/>
    </row>
    <row r="791">
      <c r="B791" s="352"/>
      <c r="C791" s="352"/>
      <c r="D791" s="353"/>
    </row>
    <row r="792">
      <c r="B792" s="352"/>
      <c r="C792" s="352"/>
      <c r="D792" s="353"/>
    </row>
    <row r="793">
      <c r="B793" s="352"/>
      <c r="C793" s="352"/>
      <c r="D793" s="353"/>
    </row>
    <row r="794">
      <c r="B794" s="352"/>
      <c r="C794" s="352"/>
      <c r="D794" s="353"/>
    </row>
    <row r="795">
      <c r="B795" s="352"/>
      <c r="C795" s="352"/>
      <c r="D795" s="353"/>
    </row>
    <row r="796">
      <c r="B796" s="352"/>
      <c r="C796" s="352"/>
      <c r="D796" s="353"/>
    </row>
    <row r="797">
      <c r="B797" s="352"/>
      <c r="C797" s="352"/>
      <c r="D797" s="353"/>
    </row>
    <row r="798">
      <c r="B798" s="352"/>
      <c r="C798" s="352"/>
      <c r="D798" s="353"/>
    </row>
    <row r="799">
      <c r="B799" s="352"/>
      <c r="C799" s="352"/>
      <c r="D799" s="353"/>
    </row>
    <row r="800">
      <c r="B800" s="352"/>
      <c r="C800" s="352"/>
      <c r="D800" s="353"/>
    </row>
    <row r="801">
      <c r="B801" s="352"/>
      <c r="C801" s="352"/>
      <c r="D801" s="353"/>
    </row>
    <row r="802">
      <c r="B802" s="352"/>
      <c r="C802" s="352"/>
      <c r="D802" s="353"/>
    </row>
    <row r="803">
      <c r="B803" s="352"/>
      <c r="C803" s="352"/>
      <c r="D803" s="353"/>
    </row>
    <row r="804">
      <c r="B804" s="352"/>
      <c r="C804" s="352"/>
      <c r="D804" s="353"/>
    </row>
    <row r="805">
      <c r="B805" s="352"/>
      <c r="C805" s="352"/>
      <c r="D805" s="353"/>
    </row>
    <row r="806">
      <c r="B806" s="352"/>
      <c r="C806" s="352"/>
      <c r="D806" s="353"/>
    </row>
    <row r="807">
      <c r="B807" s="352"/>
      <c r="C807" s="352"/>
      <c r="D807" s="353"/>
    </row>
    <row r="808">
      <c r="B808" s="352"/>
      <c r="C808" s="352"/>
      <c r="D808" s="353"/>
    </row>
    <row r="809">
      <c r="B809" s="352"/>
      <c r="C809" s="352"/>
      <c r="D809" s="353"/>
    </row>
    <row r="810">
      <c r="B810" s="352"/>
      <c r="C810" s="352"/>
      <c r="D810" s="353"/>
    </row>
    <row r="811">
      <c r="B811" s="352"/>
      <c r="C811" s="352"/>
      <c r="D811" s="353"/>
    </row>
    <row r="812">
      <c r="B812" s="352"/>
      <c r="C812" s="352"/>
      <c r="D812" s="353"/>
    </row>
    <row r="813">
      <c r="B813" s="352"/>
      <c r="C813" s="352"/>
      <c r="D813" s="353"/>
    </row>
    <row r="814">
      <c r="B814" s="352"/>
      <c r="C814" s="352"/>
      <c r="D814" s="353"/>
    </row>
    <row r="815">
      <c r="B815" s="352"/>
      <c r="C815" s="352"/>
      <c r="D815" s="353"/>
    </row>
    <row r="816">
      <c r="B816" s="352"/>
      <c r="C816" s="352"/>
      <c r="D816" s="353"/>
    </row>
    <row r="817">
      <c r="B817" s="352"/>
      <c r="C817" s="352"/>
      <c r="D817" s="353"/>
    </row>
    <row r="818">
      <c r="B818" s="352"/>
      <c r="C818" s="352"/>
      <c r="D818" s="353"/>
    </row>
    <row r="819">
      <c r="B819" s="352"/>
      <c r="C819" s="352"/>
      <c r="D819" s="353"/>
    </row>
    <row r="820">
      <c r="B820" s="352"/>
      <c r="C820" s="352"/>
      <c r="D820" s="353"/>
    </row>
    <row r="821">
      <c r="B821" s="352"/>
      <c r="C821" s="352"/>
      <c r="D821" s="353"/>
    </row>
    <row r="822">
      <c r="B822" s="352"/>
      <c r="C822" s="352"/>
      <c r="D822" s="353"/>
    </row>
    <row r="823">
      <c r="B823" s="352"/>
      <c r="C823" s="352"/>
      <c r="D823" s="353"/>
    </row>
    <row r="824">
      <c r="B824" s="352"/>
      <c r="C824" s="352"/>
      <c r="D824" s="353"/>
    </row>
    <row r="825">
      <c r="B825" s="352"/>
      <c r="C825" s="352"/>
      <c r="D825" s="353"/>
    </row>
    <row r="826">
      <c r="B826" s="352"/>
      <c r="C826" s="352"/>
      <c r="D826" s="353"/>
    </row>
    <row r="827">
      <c r="B827" s="352"/>
      <c r="C827" s="352"/>
      <c r="D827" s="353"/>
    </row>
    <row r="828">
      <c r="B828" s="352"/>
      <c r="C828" s="352"/>
      <c r="D828" s="353"/>
    </row>
    <row r="829">
      <c r="B829" s="352"/>
      <c r="C829" s="352"/>
      <c r="D829" s="353"/>
    </row>
    <row r="830">
      <c r="B830" s="352"/>
      <c r="C830" s="352"/>
      <c r="D830" s="353"/>
    </row>
    <row r="831">
      <c r="B831" s="352"/>
      <c r="C831" s="352"/>
      <c r="D831" s="353"/>
    </row>
    <row r="832">
      <c r="B832" s="352"/>
      <c r="C832" s="352"/>
      <c r="D832" s="353"/>
    </row>
    <row r="833">
      <c r="B833" s="352"/>
      <c r="C833" s="352"/>
      <c r="D833" s="353"/>
    </row>
    <row r="834">
      <c r="B834" s="352"/>
      <c r="C834" s="352"/>
      <c r="D834" s="353"/>
    </row>
    <row r="835">
      <c r="B835" s="352"/>
      <c r="C835" s="352"/>
      <c r="D835" s="353"/>
    </row>
    <row r="836">
      <c r="B836" s="352"/>
      <c r="C836" s="352"/>
      <c r="D836" s="353"/>
    </row>
    <row r="837">
      <c r="B837" s="352"/>
      <c r="C837" s="352"/>
      <c r="D837" s="353"/>
    </row>
    <row r="838">
      <c r="B838" s="352"/>
      <c r="C838" s="352"/>
      <c r="D838" s="353"/>
    </row>
    <row r="839">
      <c r="B839" s="352"/>
      <c r="C839" s="352"/>
      <c r="D839" s="353"/>
    </row>
    <row r="840">
      <c r="B840" s="352"/>
      <c r="C840" s="352"/>
      <c r="D840" s="353"/>
    </row>
    <row r="841">
      <c r="B841" s="352"/>
      <c r="C841" s="352"/>
      <c r="D841" s="353"/>
    </row>
    <row r="842">
      <c r="B842" s="352"/>
      <c r="C842" s="352"/>
      <c r="D842" s="353"/>
    </row>
    <row r="843">
      <c r="B843" s="352"/>
      <c r="C843" s="352"/>
      <c r="D843" s="353"/>
    </row>
    <row r="844">
      <c r="B844" s="352"/>
      <c r="C844" s="352"/>
      <c r="D844" s="353"/>
    </row>
    <row r="845">
      <c r="B845" s="352"/>
      <c r="C845" s="352"/>
      <c r="D845" s="353"/>
    </row>
    <row r="846">
      <c r="B846" s="352"/>
      <c r="C846" s="352"/>
      <c r="D846" s="353"/>
    </row>
    <row r="847">
      <c r="B847" s="352"/>
      <c r="C847" s="352"/>
      <c r="D847" s="353"/>
    </row>
    <row r="848">
      <c r="B848" s="352"/>
      <c r="C848" s="352"/>
      <c r="D848" s="353"/>
    </row>
    <row r="849">
      <c r="B849" s="352"/>
      <c r="C849" s="352"/>
      <c r="D849" s="353"/>
    </row>
    <row r="850">
      <c r="B850" s="352"/>
      <c r="C850" s="352"/>
      <c r="D850" s="353"/>
    </row>
    <row r="851">
      <c r="B851" s="352"/>
      <c r="C851" s="352"/>
      <c r="D851" s="353"/>
    </row>
    <row r="852">
      <c r="B852" s="352"/>
      <c r="C852" s="352"/>
      <c r="D852" s="353"/>
    </row>
    <row r="853">
      <c r="B853" s="352"/>
      <c r="C853" s="352"/>
      <c r="D853" s="353"/>
    </row>
    <row r="854">
      <c r="B854" s="352"/>
      <c r="C854" s="352"/>
      <c r="D854" s="353"/>
    </row>
    <row r="855">
      <c r="B855" s="352"/>
      <c r="C855" s="352"/>
      <c r="D855" s="353"/>
    </row>
    <row r="856">
      <c r="B856" s="352"/>
      <c r="C856" s="352"/>
      <c r="D856" s="353"/>
    </row>
    <row r="857">
      <c r="B857" s="352"/>
      <c r="C857" s="352"/>
      <c r="D857" s="353"/>
    </row>
    <row r="858">
      <c r="B858" s="352"/>
      <c r="C858" s="352"/>
      <c r="D858" s="353"/>
    </row>
    <row r="859">
      <c r="B859" s="352"/>
      <c r="C859" s="352"/>
      <c r="D859" s="353"/>
    </row>
    <row r="860">
      <c r="B860" s="352"/>
      <c r="C860" s="352"/>
      <c r="D860" s="353"/>
    </row>
    <row r="861">
      <c r="B861" s="352"/>
      <c r="C861" s="352"/>
      <c r="D861" s="353"/>
    </row>
    <row r="862">
      <c r="B862" s="352"/>
      <c r="C862" s="352"/>
      <c r="D862" s="353"/>
    </row>
    <row r="863">
      <c r="B863" s="352"/>
      <c r="C863" s="352"/>
      <c r="D863" s="353"/>
    </row>
    <row r="864">
      <c r="B864" s="352"/>
      <c r="C864" s="352"/>
      <c r="D864" s="353"/>
    </row>
    <row r="865">
      <c r="B865" s="352"/>
      <c r="C865" s="352"/>
      <c r="D865" s="353"/>
    </row>
    <row r="866">
      <c r="B866" s="352"/>
      <c r="C866" s="352"/>
      <c r="D866" s="353"/>
    </row>
    <row r="867">
      <c r="B867" s="352"/>
      <c r="C867" s="352"/>
      <c r="D867" s="353"/>
    </row>
    <row r="868">
      <c r="B868" s="352"/>
      <c r="C868" s="352"/>
      <c r="D868" s="353"/>
    </row>
    <row r="869">
      <c r="B869" s="352"/>
      <c r="C869" s="352"/>
      <c r="D869" s="353"/>
    </row>
    <row r="870">
      <c r="B870" s="352"/>
      <c r="C870" s="352"/>
      <c r="D870" s="353"/>
    </row>
    <row r="871">
      <c r="B871" s="352"/>
      <c r="C871" s="352"/>
      <c r="D871" s="353"/>
    </row>
    <row r="872">
      <c r="B872" s="352"/>
      <c r="C872" s="352"/>
      <c r="D872" s="353"/>
    </row>
    <row r="873">
      <c r="B873" s="352"/>
      <c r="C873" s="352"/>
      <c r="D873" s="353"/>
    </row>
    <row r="874">
      <c r="B874" s="352"/>
      <c r="C874" s="352"/>
      <c r="D874" s="353"/>
    </row>
    <row r="875">
      <c r="B875" s="352"/>
      <c r="C875" s="352"/>
      <c r="D875" s="353"/>
    </row>
    <row r="876">
      <c r="B876" s="352"/>
      <c r="C876" s="352"/>
      <c r="D876" s="353"/>
    </row>
    <row r="877">
      <c r="B877" s="352"/>
      <c r="C877" s="352"/>
      <c r="D877" s="353"/>
    </row>
    <row r="878">
      <c r="B878" s="352"/>
      <c r="C878" s="352"/>
      <c r="D878" s="353"/>
    </row>
    <row r="879">
      <c r="B879" s="352"/>
      <c r="C879" s="352"/>
      <c r="D879" s="353"/>
    </row>
    <row r="880">
      <c r="B880" s="352"/>
      <c r="C880" s="352"/>
      <c r="D880" s="353"/>
    </row>
    <row r="881">
      <c r="B881" s="352"/>
      <c r="C881" s="352"/>
      <c r="D881" s="353"/>
    </row>
    <row r="882">
      <c r="B882" s="352"/>
      <c r="C882" s="352"/>
      <c r="D882" s="353"/>
    </row>
    <row r="883">
      <c r="B883" s="352"/>
      <c r="C883" s="352"/>
      <c r="D883" s="353"/>
    </row>
    <row r="884">
      <c r="B884" s="352"/>
      <c r="C884" s="352"/>
      <c r="D884" s="353"/>
    </row>
    <row r="885">
      <c r="B885" s="352"/>
      <c r="C885" s="352"/>
      <c r="D885" s="353"/>
    </row>
    <row r="886">
      <c r="B886" s="352"/>
      <c r="C886" s="352"/>
      <c r="D886" s="353"/>
    </row>
    <row r="887">
      <c r="B887" s="352"/>
      <c r="C887" s="352"/>
      <c r="D887" s="353"/>
    </row>
    <row r="888">
      <c r="B888" s="352"/>
      <c r="C888" s="352"/>
      <c r="D888" s="353"/>
    </row>
    <row r="889">
      <c r="B889" s="352"/>
      <c r="C889" s="352"/>
      <c r="D889" s="353"/>
    </row>
    <row r="890">
      <c r="B890" s="352"/>
      <c r="C890" s="352"/>
      <c r="D890" s="353"/>
    </row>
    <row r="891">
      <c r="B891" s="352"/>
      <c r="C891" s="352"/>
      <c r="D891" s="353"/>
    </row>
    <row r="892">
      <c r="B892" s="352"/>
      <c r="C892" s="352"/>
      <c r="D892" s="353"/>
    </row>
    <row r="893">
      <c r="B893" s="352"/>
      <c r="C893" s="352"/>
      <c r="D893" s="353"/>
    </row>
    <row r="894">
      <c r="B894" s="352"/>
      <c r="C894" s="352"/>
      <c r="D894" s="353"/>
    </row>
    <row r="895">
      <c r="B895" s="352"/>
      <c r="C895" s="352"/>
      <c r="D895" s="353"/>
    </row>
    <row r="896">
      <c r="B896" s="352"/>
      <c r="C896" s="352"/>
      <c r="D896" s="353"/>
    </row>
    <row r="897">
      <c r="B897" s="352"/>
      <c r="C897" s="352"/>
      <c r="D897" s="353"/>
    </row>
    <row r="898">
      <c r="B898" s="352"/>
      <c r="C898" s="352"/>
      <c r="D898" s="353"/>
    </row>
    <row r="899">
      <c r="B899" s="352"/>
      <c r="C899" s="352"/>
      <c r="D899" s="353"/>
    </row>
    <row r="900">
      <c r="B900" s="352"/>
      <c r="C900" s="352"/>
      <c r="D900" s="353"/>
    </row>
    <row r="901">
      <c r="B901" s="352"/>
      <c r="C901" s="352"/>
      <c r="D901" s="353"/>
    </row>
    <row r="902">
      <c r="B902" s="352"/>
      <c r="C902" s="352"/>
      <c r="D902" s="353"/>
    </row>
    <row r="903">
      <c r="B903" s="352"/>
      <c r="C903" s="352"/>
      <c r="D903" s="353"/>
    </row>
    <row r="904">
      <c r="B904" s="352"/>
      <c r="C904" s="352"/>
      <c r="D904" s="353"/>
    </row>
    <row r="905">
      <c r="B905" s="352"/>
      <c r="C905" s="352"/>
      <c r="D905" s="353"/>
    </row>
    <row r="906">
      <c r="B906" s="352"/>
      <c r="C906" s="352"/>
      <c r="D906" s="353"/>
    </row>
    <row r="907">
      <c r="B907" s="352"/>
      <c r="C907" s="352"/>
      <c r="D907" s="353"/>
    </row>
    <row r="908">
      <c r="B908" s="352"/>
      <c r="C908" s="352"/>
      <c r="D908" s="353"/>
    </row>
    <row r="909">
      <c r="B909" s="352"/>
      <c r="C909" s="352"/>
      <c r="D909" s="353"/>
    </row>
    <row r="910">
      <c r="B910" s="352"/>
      <c r="C910" s="352"/>
      <c r="D910" s="353"/>
    </row>
    <row r="911">
      <c r="B911" s="352"/>
      <c r="C911" s="352"/>
      <c r="D911" s="353"/>
    </row>
    <row r="912">
      <c r="B912" s="352"/>
      <c r="C912" s="352"/>
      <c r="D912" s="353"/>
    </row>
    <row r="913">
      <c r="B913" s="352"/>
      <c r="C913" s="352"/>
      <c r="D913" s="353"/>
    </row>
    <row r="914">
      <c r="B914" s="352"/>
      <c r="C914" s="352"/>
      <c r="D914" s="353"/>
    </row>
    <row r="915">
      <c r="B915" s="352"/>
      <c r="C915" s="352"/>
      <c r="D915" s="353"/>
    </row>
    <row r="916">
      <c r="B916" s="352"/>
      <c r="C916" s="352"/>
      <c r="D916" s="353"/>
    </row>
    <row r="917">
      <c r="B917" s="352"/>
      <c r="C917" s="352"/>
      <c r="D917" s="353"/>
    </row>
    <row r="918">
      <c r="B918" s="352"/>
      <c r="C918" s="352"/>
      <c r="D918" s="353"/>
    </row>
    <row r="919">
      <c r="B919" s="352"/>
      <c r="C919" s="352"/>
      <c r="D919" s="353"/>
    </row>
    <row r="920">
      <c r="B920" s="352"/>
      <c r="C920" s="352"/>
      <c r="D920" s="353"/>
    </row>
    <row r="921">
      <c r="B921" s="352"/>
      <c r="C921" s="352"/>
      <c r="D921" s="353"/>
    </row>
    <row r="922">
      <c r="B922" s="352"/>
      <c r="C922" s="352"/>
      <c r="D922" s="353"/>
    </row>
    <row r="923">
      <c r="B923" s="352"/>
      <c r="C923" s="352"/>
      <c r="D923" s="353"/>
    </row>
    <row r="924">
      <c r="B924" s="352"/>
      <c r="C924" s="352"/>
      <c r="D924" s="353"/>
    </row>
    <row r="925">
      <c r="B925" s="352"/>
      <c r="C925" s="352"/>
      <c r="D925" s="353"/>
    </row>
    <row r="926">
      <c r="B926" s="352"/>
      <c r="C926" s="352"/>
      <c r="D926" s="353"/>
    </row>
    <row r="927">
      <c r="B927" s="352"/>
      <c r="C927" s="352"/>
      <c r="D927" s="353"/>
    </row>
    <row r="928">
      <c r="B928" s="352"/>
      <c r="C928" s="352"/>
      <c r="D928" s="353"/>
    </row>
    <row r="929">
      <c r="B929" s="352"/>
      <c r="C929" s="352"/>
      <c r="D929" s="353"/>
    </row>
    <row r="930">
      <c r="B930" s="352"/>
      <c r="C930" s="352"/>
      <c r="D930" s="353"/>
    </row>
    <row r="931">
      <c r="B931" s="352"/>
      <c r="C931" s="352"/>
      <c r="D931" s="353"/>
    </row>
    <row r="932">
      <c r="B932" s="352"/>
      <c r="C932" s="352"/>
      <c r="D932" s="353"/>
    </row>
    <row r="933">
      <c r="B933" s="352"/>
      <c r="C933" s="352"/>
      <c r="D933" s="353"/>
    </row>
    <row r="934">
      <c r="B934" s="352"/>
      <c r="C934" s="352"/>
      <c r="D934" s="353"/>
    </row>
    <row r="935">
      <c r="B935" s="352"/>
      <c r="C935" s="352"/>
      <c r="D935" s="353"/>
    </row>
    <row r="936">
      <c r="B936" s="352"/>
      <c r="C936" s="352"/>
      <c r="D936" s="353"/>
    </row>
    <row r="937">
      <c r="B937" s="352"/>
      <c r="C937" s="352"/>
      <c r="D937" s="353"/>
    </row>
    <row r="938">
      <c r="B938" s="352"/>
      <c r="C938" s="352"/>
      <c r="D938" s="353"/>
    </row>
    <row r="939">
      <c r="B939" s="352"/>
      <c r="C939" s="352"/>
      <c r="D939" s="353"/>
    </row>
    <row r="940">
      <c r="B940" s="352"/>
      <c r="C940" s="352"/>
      <c r="D940" s="353"/>
    </row>
    <row r="941">
      <c r="B941" s="352"/>
      <c r="C941" s="352"/>
      <c r="D941" s="353"/>
    </row>
    <row r="942">
      <c r="B942" s="352"/>
      <c r="C942" s="352"/>
      <c r="D942" s="353"/>
    </row>
    <row r="943">
      <c r="B943" s="352"/>
      <c r="C943" s="352"/>
      <c r="D943" s="353"/>
    </row>
    <row r="944">
      <c r="B944" s="352"/>
      <c r="C944" s="352"/>
      <c r="D944" s="353"/>
    </row>
    <row r="945">
      <c r="B945" s="352"/>
      <c r="C945" s="352"/>
      <c r="D945" s="353"/>
    </row>
    <row r="946">
      <c r="B946" s="352"/>
      <c r="C946" s="352"/>
      <c r="D946" s="353"/>
    </row>
    <row r="947">
      <c r="B947" s="352"/>
      <c r="C947" s="352"/>
      <c r="D947" s="353"/>
    </row>
    <row r="948">
      <c r="B948" s="352"/>
      <c r="C948" s="352"/>
      <c r="D948" s="353"/>
    </row>
    <row r="949">
      <c r="B949" s="352"/>
      <c r="C949" s="352"/>
      <c r="D949" s="353"/>
    </row>
    <row r="950">
      <c r="B950" s="352"/>
      <c r="C950" s="352"/>
      <c r="D950" s="353"/>
    </row>
    <row r="951">
      <c r="B951" s="352"/>
      <c r="C951" s="352"/>
      <c r="D951" s="353"/>
    </row>
    <row r="952">
      <c r="B952" s="352"/>
      <c r="C952" s="352"/>
      <c r="D952" s="353"/>
    </row>
    <row r="953">
      <c r="B953" s="352"/>
      <c r="C953" s="352"/>
      <c r="D953" s="353"/>
    </row>
    <row r="954">
      <c r="B954" s="352"/>
      <c r="C954" s="352"/>
      <c r="D954" s="353"/>
    </row>
    <row r="955">
      <c r="B955" s="352"/>
      <c r="C955" s="352"/>
      <c r="D955" s="353"/>
    </row>
    <row r="956">
      <c r="B956" s="352"/>
      <c r="C956" s="352"/>
      <c r="D956" s="353"/>
    </row>
    <row r="957">
      <c r="B957" s="352"/>
      <c r="C957" s="352"/>
      <c r="D957" s="353"/>
    </row>
    <row r="958">
      <c r="B958" s="352"/>
      <c r="C958" s="352"/>
      <c r="D958" s="353"/>
    </row>
    <row r="959">
      <c r="B959" s="352"/>
      <c r="C959" s="352"/>
      <c r="D959" s="353"/>
    </row>
    <row r="960">
      <c r="B960" s="352"/>
      <c r="C960" s="352"/>
      <c r="D960" s="353"/>
    </row>
    <row r="961">
      <c r="B961" s="352"/>
      <c r="C961" s="352"/>
      <c r="D961" s="353"/>
    </row>
    <row r="962">
      <c r="B962" s="352"/>
      <c r="C962" s="352"/>
      <c r="D962" s="353"/>
    </row>
    <row r="963">
      <c r="B963" s="352"/>
      <c r="C963" s="352"/>
      <c r="D963" s="353"/>
    </row>
    <row r="964">
      <c r="B964" s="352"/>
      <c r="C964" s="352"/>
      <c r="D964" s="353"/>
    </row>
    <row r="965">
      <c r="B965" s="352"/>
      <c r="C965" s="352"/>
      <c r="D965" s="353"/>
    </row>
    <row r="966">
      <c r="B966" s="352"/>
      <c r="C966" s="352"/>
      <c r="D966" s="353"/>
    </row>
    <row r="967">
      <c r="B967" s="352"/>
      <c r="C967" s="352"/>
      <c r="D967" s="353"/>
    </row>
    <row r="968">
      <c r="B968" s="352"/>
      <c r="C968" s="352"/>
      <c r="D968" s="353"/>
    </row>
    <row r="969">
      <c r="B969" s="352"/>
      <c r="C969" s="352"/>
      <c r="D969" s="353"/>
    </row>
    <row r="970">
      <c r="B970" s="352"/>
      <c r="C970" s="352"/>
      <c r="D970" s="353"/>
    </row>
    <row r="971">
      <c r="B971" s="352"/>
      <c r="C971" s="352"/>
      <c r="D971" s="353"/>
    </row>
    <row r="972">
      <c r="B972" s="352"/>
      <c r="C972" s="352"/>
      <c r="D972" s="353"/>
    </row>
    <row r="973">
      <c r="B973" s="352"/>
      <c r="C973" s="352"/>
      <c r="D973" s="353"/>
    </row>
    <row r="974">
      <c r="B974" s="352"/>
      <c r="C974" s="352"/>
      <c r="D974" s="353"/>
    </row>
    <row r="975">
      <c r="B975" s="352"/>
      <c r="C975" s="352"/>
      <c r="D975" s="353"/>
    </row>
    <row r="976">
      <c r="B976" s="352"/>
      <c r="C976" s="352"/>
      <c r="D976" s="353"/>
    </row>
    <row r="977">
      <c r="B977" s="352"/>
      <c r="C977" s="352"/>
      <c r="D977" s="353"/>
    </row>
    <row r="978">
      <c r="B978" s="352"/>
      <c r="C978" s="352"/>
      <c r="D978" s="353"/>
    </row>
    <row r="979">
      <c r="B979" s="352"/>
      <c r="C979" s="352"/>
      <c r="D979" s="353"/>
    </row>
    <row r="980">
      <c r="B980" s="352"/>
      <c r="C980" s="352"/>
      <c r="D980" s="353"/>
    </row>
    <row r="981">
      <c r="B981" s="352"/>
      <c r="C981" s="352"/>
      <c r="D981" s="353"/>
    </row>
    <row r="982">
      <c r="B982" s="352"/>
      <c r="C982" s="352"/>
      <c r="D982" s="353"/>
    </row>
    <row r="983">
      <c r="B983" s="352"/>
      <c r="C983" s="352"/>
      <c r="D983" s="353"/>
    </row>
    <row r="984">
      <c r="B984" s="352"/>
      <c r="C984" s="352"/>
      <c r="D984" s="353"/>
    </row>
    <row r="985">
      <c r="B985" s="352"/>
      <c r="C985" s="352"/>
      <c r="D985" s="353"/>
    </row>
    <row r="986">
      <c r="B986" s="352"/>
      <c r="C986" s="352"/>
      <c r="D986" s="353"/>
    </row>
    <row r="987">
      <c r="B987" s="352"/>
      <c r="C987" s="352"/>
      <c r="D987" s="353"/>
    </row>
    <row r="988">
      <c r="B988" s="352"/>
      <c r="C988" s="352"/>
      <c r="D988" s="353"/>
    </row>
    <row r="989">
      <c r="B989" s="352"/>
      <c r="C989" s="352"/>
      <c r="D989" s="353"/>
    </row>
    <row r="990">
      <c r="B990" s="352"/>
      <c r="C990" s="352"/>
      <c r="D990" s="353"/>
    </row>
    <row r="991">
      <c r="B991" s="352"/>
      <c r="C991" s="352"/>
      <c r="D991" s="353"/>
    </row>
    <row r="992">
      <c r="B992" s="352"/>
      <c r="C992" s="352"/>
      <c r="D992" s="353"/>
    </row>
    <row r="993">
      <c r="B993" s="352"/>
      <c r="C993" s="352"/>
      <c r="D993" s="353"/>
    </row>
    <row r="994">
      <c r="B994" s="352"/>
      <c r="C994" s="352"/>
      <c r="D994" s="353"/>
    </row>
    <row r="995">
      <c r="B995" s="352"/>
      <c r="C995" s="352"/>
      <c r="D995" s="353"/>
    </row>
    <row r="996">
      <c r="B996" s="352"/>
      <c r="C996" s="352"/>
      <c r="D996" s="353"/>
    </row>
    <row r="997">
      <c r="B997" s="352"/>
      <c r="C997" s="352"/>
      <c r="D997" s="353"/>
    </row>
    <row r="998">
      <c r="B998" s="352"/>
      <c r="C998" s="352"/>
      <c r="D998" s="353"/>
    </row>
    <row r="999">
      <c r="B999" s="352"/>
      <c r="C999" s="352"/>
      <c r="D999" s="353"/>
    </row>
    <row r="1000">
      <c r="B1000" s="352"/>
      <c r="C1000" s="352"/>
      <c r="D1000" s="353"/>
    </row>
  </sheetData>
  <mergeCells count="1003">
    <mergeCell ref="D231:K231"/>
    <mergeCell ref="D229:K229"/>
    <mergeCell ref="D195:K195"/>
    <mergeCell ref="D196:K196"/>
    <mergeCell ref="D197:K197"/>
    <mergeCell ref="D198:K198"/>
    <mergeCell ref="D199:K199"/>
    <mergeCell ref="D200:K200"/>
    <mergeCell ref="D201:K201"/>
    <mergeCell ref="D202:K202"/>
    <mergeCell ref="D172:K172"/>
    <mergeCell ref="D230:K230"/>
    <mergeCell ref="D181:K181"/>
    <mergeCell ref="D182:K182"/>
    <mergeCell ref="D192:K192"/>
    <mergeCell ref="D193:K193"/>
    <mergeCell ref="D194:K194"/>
    <mergeCell ref="D203:K203"/>
    <mergeCell ref="D213:K213"/>
    <mergeCell ref="D214:K214"/>
    <mergeCell ref="D223:K223"/>
    <mergeCell ref="D222:K222"/>
    <mergeCell ref="D224:K224"/>
    <mergeCell ref="D206:K206"/>
    <mergeCell ref="D209:K209"/>
    <mergeCell ref="D210:K210"/>
    <mergeCell ref="D211:K211"/>
    <mergeCell ref="D212:K212"/>
    <mergeCell ref="D207:K207"/>
    <mergeCell ref="D208:K208"/>
    <mergeCell ref="D225:K225"/>
    <mergeCell ref="D226:K226"/>
    <mergeCell ref="D227:K227"/>
    <mergeCell ref="D228:K228"/>
    <mergeCell ref="D249:K249"/>
    <mergeCell ref="D238:K238"/>
    <mergeCell ref="D272:K272"/>
    <mergeCell ref="D267:K267"/>
    <mergeCell ref="D268:K268"/>
    <mergeCell ref="D269:K269"/>
    <mergeCell ref="D270:K270"/>
    <mergeCell ref="D271:K271"/>
    <mergeCell ref="D48:K48"/>
    <mergeCell ref="D49:K49"/>
    <mergeCell ref="D50:K50"/>
    <mergeCell ref="D51:K51"/>
    <mergeCell ref="D85:K85"/>
    <mergeCell ref="D86:K86"/>
    <mergeCell ref="D52:K52"/>
    <mergeCell ref="D87:K87"/>
    <mergeCell ref="D69:K69"/>
    <mergeCell ref="D62:K62"/>
    <mergeCell ref="D88:K88"/>
    <mergeCell ref="D89:K89"/>
    <mergeCell ref="D90:K90"/>
    <mergeCell ref="D91:K91"/>
    <mergeCell ref="D92:K92"/>
    <mergeCell ref="D93:K93"/>
    <mergeCell ref="D94:K94"/>
    <mergeCell ref="D95:K95"/>
    <mergeCell ref="D96:K96"/>
    <mergeCell ref="D97:K97"/>
    <mergeCell ref="D98:K98"/>
    <mergeCell ref="D99:K99"/>
    <mergeCell ref="D100:K100"/>
    <mergeCell ref="D101:K101"/>
    <mergeCell ref="D102:K102"/>
    <mergeCell ref="D103:K103"/>
    <mergeCell ref="D104:K104"/>
    <mergeCell ref="D105:K105"/>
    <mergeCell ref="D106:K106"/>
    <mergeCell ref="D107:K107"/>
    <mergeCell ref="D108:K108"/>
    <mergeCell ref="D109:K109"/>
    <mergeCell ref="D110:K110"/>
    <mergeCell ref="D111:K111"/>
    <mergeCell ref="D112:K112"/>
    <mergeCell ref="D113:K113"/>
    <mergeCell ref="D114:K114"/>
    <mergeCell ref="D115:K115"/>
    <mergeCell ref="D116:K116"/>
    <mergeCell ref="D117:K117"/>
    <mergeCell ref="D118:K118"/>
    <mergeCell ref="D119:K119"/>
    <mergeCell ref="D120:K120"/>
    <mergeCell ref="D121:K121"/>
    <mergeCell ref="D122:K122"/>
    <mergeCell ref="D123:K123"/>
    <mergeCell ref="D124:K124"/>
    <mergeCell ref="D125:K125"/>
    <mergeCell ref="D191:K191"/>
    <mergeCell ref="D183:K183"/>
    <mergeCell ref="D204:K204"/>
    <mergeCell ref="D205:K205"/>
    <mergeCell ref="D126:K126"/>
    <mergeCell ref="D190:K190"/>
    <mergeCell ref="D185:K185"/>
    <mergeCell ref="D186:K186"/>
    <mergeCell ref="D187:K187"/>
    <mergeCell ref="D188:K188"/>
    <mergeCell ref="D189:K189"/>
    <mergeCell ref="D180:K180"/>
    <mergeCell ref="D170:K170"/>
    <mergeCell ref="D171:K171"/>
    <mergeCell ref="D178:K178"/>
    <mergeCell ref="D179:K179"/>
    <mergeCell ref="D184:K184"/>
    <mergeCell ref="D169:K169"/>
    <mergeCell ref="D173:K173"/>
    <mergeCell ref="D174:K174"/>
    <mergeCell ref="D175:K175"/>
    <mergeCell ref="D176:K176"/>
    <mergeCell ref="D177:K177"/>
    <mergeCell ref="D472:K472"/>
    <mergeCell ref="D473:K473"/>
    <mergeCell ref="D474:K474"/>
    <mergeCell ref="D475:K475"/>
    <mergeCell ref="D542:K542"/>
    <mergeCell ref="D543:K543"/>
    <mergeCell ref="D552:K552"/>
    <mergeCell ref="D553:K553"/>
    <mergeCell ref="D468:K468"/>
    <mergeCell ref="D469:K469"/>
    <mergeCell ref="D476:K476"/>
    <mergeCell ref="D375:K375"/>
    <mergeCell ref="D376:K376"/>
    <mergeCell ref="D467:K467"/>
    <mergeCell ref="D380:K380"/>
    <mergeCell ref="D381:K381"/>
    <mergeCell ref="D382:K382"/>
    <mergeCell ref="D383:K383"/>
    <mergeCell ref="D373:K373"/>
    <mergeCell ref="D374:K374"/>
    <mergeCell ref="D377:K377"/>
    <mergeCell ref="D660:K660"/>
    <mergeCell ref="D661:K661"/>
    <mergeCell ref="D662:K662"/>
    <mergeCell ref="D663:K663"/>
    <mergeCell ref="D664:K664"/>
    <mergeCell ref="D666:K666"/>
    <mergeCell ref="D665:K665"/>
    <mergeCell ref="D667:K667"/>
    <mergeCell ref="D673:K673"/>
    <mergeCell ref="D674:K674"/>
    <mergeCell ref="D677:K677"/>
    <mergeCell ref="D657:K657"/>
    <mergeCell ref="D658:K658"/>
    <mergeCell ref="D470:K470"/>
    <mergeCell ref="D471:K471"/>
    <mergeCell ref="D275:K275"/>
    <mergeCell ref="D274:K274"/>
    <mergeCell ref="D293:K293"/>
    <mergeCell ref="D286:K286"/>
    <mergeCell ref="D287:K287"/>
    <mergeCell ref="D288:K288"/>
    <mergeCell ref="D289:K289"/>
    <mergeCell ref="D290:K290"/>
    <mergeCell ref="D273:K273"/>
    <mergeCell ref="D153:K153"/>
    <mergeCell ref="D154:K154"/>
    <mergeCell ref="D215:K215"/>
    <mergeCell ref="D216:K216"/>
    <mergeCell ref="D217:K217"/>
    <mergeCell ref="D218:K218"/>
    <mergeCell ref="D219:K219"/>
    <mergeCell ref="D220:K220"/>
    <mergeCell ref="D232:K232"/>
    <mergeCell ref="D233:K233"/>
    <mergeCell ref="D234:K234"/>
    <mergeCell ref="D235:K235"/>
    <mergeCell ref="D236:K236"/>
    <mergeCell ref="D237:K237"/>
    <mergeCell ref="D155:K155"/>
    <mergeCell ref="D156:K156"/>
    <mergeCell ref="D157:K157"/>
    <mergeCell ref="D158:K158"/>
    <mergeCell ref="D159:K159"/>
    <mergeCell ref="D160:K160"/>
    <mergeCell ref="D161:K161"/>
    <mergeCell ref="D162:K162"/>
    <mergeCell ref="D163:K163"/>
    <mergeCell ref="D164:K164"/>
    <mergeCell ref="D165:K165"/>
    <mergeCell ref="D166:K166"/>
    <mergeCell ref="D167:K167"/>
    <mergeCell ref="D168:K168"/>
    <mergeCell ref="D451:K451"/>
    <mergeCell ref="D452:K452"/>
    <mergeCell ref="D453:K453"/>
    <mergeCell ref="D454:K454"/>
    <mergeCell ref="D455:K455"/>
    <mergeCell ref="D456:K456"/>
    <mergeCell ref="D457:K457"/>
    <mergeCell ref="D458:K458"/>
    <mergeCell ref="D459:K459"/>
    <mergeCell ref="D460:K460"/>
    <mergeCell ref="D461:K461"/>
    <mergeCell ref="D462:K462"/>
    <mergeCell ref="D463:K463"/>
    <mergeCell ref="D464:K464"/>
    <mergeCell ref="D148:K148"/>
    <mergeCell ref="D149:K149"/>
    <mergeCell ref="D141:K141"/>
    <mergeCell ref="D142:K142"/>
    <mergeCell ref="D143:K143"/>
    <mergeCell ref="D144:K144"/>
    <mergeCell ref="D145:K145"/>
    <mergeCell ref="D146:K146"/>
    <mergeCell ref="D147:K147"/>
    <mergeCell ref="D150:K150"/>
    <mergeCell ref="D151:K151"/>
    <mergeCell ref="D76:K76"/>
    <mergeCell ref="D77:K77"/>
    <mergeCell ref="D136:K136"/>
    <mergeCell ref="D137:K137"/>
    <mergeCell ref="D138:K138"/>
    <mergeCell ref="D139:K139"/>
    <mergeCell ref="D140:K140"/>
    <mergeCell ref="D41:K41"/>
    <mergeCell ref="D42:K42"/>
    <mergeCell ref="D43:K43"/>
    <mergeCell ref="D44:K44"/>
    <mergeCell ref="D45:K45"/>
    <mergeCell ref="D46:K46"/>
    <mergeCell ref="D603:K603"/>
    <mergeCell ref="D638:K638"/>
    <mergeCell ref="D631:K631"/>
    <mergeCell ref="D632:K632"/>
    <mergeCell ref="D633:K633"/>
    <mergeCell ref="D570:K570"/>
    <mergeCell ref="D571:K571"/>
    <mergeCell ref="D257:K257"/>
    <mergeCell ref="D256:K256"/>
    <mergeCell ref="D276:K276"/>
    <mergeCell ref="D284:K284"/>
    <mergeCell ref="D291:K291"/>
    <mergeCell ref="D292:K292"/>
    <mergeCell ref="D246:K246"/>
    <mergeCell ref="D247:K247"/>
    <mergeCell ref="D405:K405"/>
    <mergeCell ref="D406:K406"/>
    <mergeCell ref="D423:K423"/>
    <mergeCell ref="D424:K424"/>
    <mergeCell ref="D425:K425"/>
    <mergeCell ref="D426:K426"/>
    <mergeCell ref="D427:K427"/>
    <mergeCell ref="D421:K421"/>
    <mergeCell ref="D422:K422"/>
    <mergeCell ref="D449:K449"/>
    <mergeCell ref="D450:K450"/>
    <mergeCell ref="D400:K400"/>
    <mergeCell ref="D401:K401"/>
    <mergeCell ref="D402:K402"/>
    <mergeCell ref="D403:K403"/>
    <mergeCell ref="D404:K404"/>
    <mergeCell ref="D407:K407"/>
    <mergeCell ref="D408:K408"/>
    <mergeCell ref="D409:K409"/>
    <mergeCell ref="D410:K410"/>
    <mergeCell ref="D411:K411"/>
    <mergeCell ref="D412:K412"/>
    <mergeCell ref="D413:K413"/>
    <mergeCell ref="D414:K414"/>
    <mergeCell ref="D415:K415"/>
    <mergeCell ref="D416:K416"/>
    <mergeCell ref="D417:K417"/>
    <mergeCell ref="D418:K418"/>
    <mergeCell ref="D419:K419"/>
    <mergeCell ref="D420:K420"/>
    <mergeCell ref="D250:K250"/>
    <mergeCell ref="D239:K239"/>
    <mergeCell ref="D240:K240"/>
    <mergeCell ref="D251:K251"/>
    <mergeCell ref="D252:K252"/>
    <mergeCell ref="D253:K253"/>
    <mergeCell ref="D254:K254"/>
    <mergeCell ref="D255:K255"/>
    <mergeCell ref="D152:K152"/>
    <mergeCell ref="D221:K221"/>
    <mergeCell ref="D465:K465"/>
    <mergeCell ref="D466:K466"/>
    <mergeCell ref="D540:K540"/>
    <mergeCell ref="D541:K541"/>
    <mergeCell ref="D444:K444"/>
    <mergeCell ref="D445:K445"/>
    <mergeCell ref="D446:K446"/>
    <mergeCell ref="D447:K447"/>
    <mergeCell ref="D448:K448"/>
    <mergeCell ref="D280:K280"/>
    <mergeCell ref="D281:K281"/>
    <mergeCell ref="D282:K282"/>
    <mergeCell ref="D283:K283"/>
    <mergeCell ref="D294:K294"/>
    <mergeCell ref="D285:K285"/>
    <mergeCell ref="D277:K277"/>
    <mergeCell ref="D278:K278"/>
    <mergeCell ref="D279:K279"/>
    <mergeCell ref="D393:K393"/>
    <mergeCell ref="D394:K394"/>
    <mergeCell ref="D395:K395"/>
    <mergeCell ref="D396:K396"/>
    <mergeCell ref="D397:K397"/>
    <mergeCell ref="D398:K398"/>
    <mergeCell ref="D399:K399"/>
    <mergeCell ref="D392:K392"/>
    <mergeCell ref="D389:K389"/>
    <mergeCell ref="D390:K390"/>
    <mergeCell ref="D391:K391"/>
    <mergeCell ref="D385:K385"/>
    <mergeCell ref="D386:K386"/>
    <mergeCell ref="D387:K387"/>
    <mergeCell ref="D388:K388"/>
    <mergeCell ref="D339:K339"/>
    <mergeCell ref="D340:K340"/>
    <mergeCell ref="D349:K349"/>
    <mergeCell ref="D350:K350"/>
    <mergeCell ref="D343:K343"/>
    <mergeCell ref="D351:K351"/>
    <mergeCell ref="D344:K344"/>
    <mergeCell ref="D345:K345"/>
    <mergeCell ref="D346:K346"/>
    <mergeCell ref="D347:K347"/>
    <mergeCell ref="D348:K348"/>
    <mergeCell ref="D358:K358"/>
    <mergeCell ref="D359:K359"/>
    <mergeCell ref="D352:K352"/>
    <mergeCell ref="D360:K360"/>
    <mergeCell ref="D353:K353"/>
    <mergeCell ref="D354:K354"/>
    <mergeCell ref="D355:K355"/>
    <mergeCell ref="D356:K356"/>
    <mergeCell ref="D357:K357"/>
    <mergeCell ref="D367:K367"/>
    <mergeCell ref="D368:K368"/>
    <mergeCell ref="D384:K384"/>
    <mergeCell ref="D378:K378"/>
    <mergeCell ref="D379:K379"/>
    <mergeCell ref="D371:K371"/>
    <mergeCell ref="D372:K372"/>
    <mergeCell ref="D5:K5"/>
    <mergeCell ref="D6:K6"/>
    <mergeCell ref="D7:K7"/>
    <mergeCell ref="D8:K8"/>
    <mergeCell ref="D9:K9"/>
    <mergeCell ref="D10:K10"/>
    <mergeCell ref="D11:K11"/>
    <mergeCell ref="D12:K12"/>
    <mergeCell ref="D3:K4"/>
    <mergeCell ref="D13:K13"/>
    <mergeCell ref="C3:C4"/>
    <mergeCell ref="B2:K2"/>
    <mergeCell ref="B1:K1"/>
    <mergeCell ref="B3:B4"/>
    <mergeCell ref="D14:K14"/>
    <mergeCell ref="D15:K15"/>
    <mergeCell ref="D16:K16"/>
    <mergeCell ref="D17:K17"/>
    <mergeCell ref="D18:K18"/>
    <mergeCell ref="D19:K19"/>
    <mergeCell ref="D20:K20"/>
    <mergeCell ref="D21:K21"/>
    <mergeCell ref="D22:K22"/>
    <mergeCell ref="D23:K23"/>
    <mergeCell ref="D24:K24"/>
    <mergeCell ref="D25:K25"/>
    <mergeCell ref="D26:K26"/>
    <mergeCell ref="D27:K27"/>
    <mergeCell ref="D28:K28"/>
    <mergeCell ref="D29:K29"/>
    <mergeCell ref="D30:K30"/>
    <mergeCell ref="D31:K31"/>
    <mergeCell ref="D32:K32"/>
    <mergeCell ref="D33:K33"/>
    <mergeCell ref="D34:K34"/>
    <mergeCell ref="D35:K35"/>
    <mergeCell ref="D36:K36"/>
    <mergeCell ref="D37:K37"/>
    <mergeCell ref="D38:K38"/>
    <mergeCell ref="D39:K39"/>
    <mergeCell ref="D71:K71"/>
    <mergeCell ref="D72:K72"/>
    <mergeCell ref="D40:K40"/>
    <mergeCell ref="D73:K73"/>
    <mergeCell ref="D74:K74"/>
    <mergeCell ref="D75:K75"/>
    <mergeCell ref="D549:K549"/>
    <mergeCell ref="D550:K550"/>
    <mergeCell ref="D583:K583"/>
    <mergeCell ref="D545:K545"/>
    <mergeCell ref="D546:K546"/>
    <mergeCell ref="D547:K547"/>
    <mergeCell ref="D548:K548"/>
    <mergeCell ref="D554:K554"/>
    <mergeCell ref="D555:K555"/>
    <mergeCell ref="D678:K678"/>
    <mergeCell ref="D679:K679"/>
    <mergeCell ref="D680:K680"/>
    <mergeCell ref="D681:K681"/>
    <mergeCell ref="D682:K682"/>
    <mergeCell ref="D683:K683"/>
    <mergeCell ref="D675:K675"/>
    <mergeCell ref="D676:K676"/>
    <mergeCell ref="D668:K668"/>
    <mergeCell ref="D669:K669"/>
    <mergeCell ref="D670:K670"/>
    <mergeCell ref="D671:K671"/>
    <mergeCell ref="D544:K544"/>
    <mergeCell ref="D551:K551"/>
    <mergeCell ref="D645:K645"/>
    <mergeCell ref="D646:K646"/>
    <mergeCell ref="D639:K639"/>
    <mergeCell ref="D659:K659"/>
    <mergeCell ref="D652:K652"/>
    <mergeCell ref="D653:K653"/>
    <mergeCell ref="D654:K654"/>
    <mergeCell ref="D655:K655"/>
    <mergeCell ref="D656:K656"/>
    <mergeCell ref="D361:K361"/>
    <mergeCell ref="D369:K369"/>
    <mergeCell ref="D362:K362"/>
    <mergeCell ref="D363:K363"/>
    <mergeCell ref="D364:K364"/>
    <mergeCell ref="D365:K365"/>
    <mergeCell ref="D366:K366"/>
    <mergeCell ref="D342:K342"/>
    <mergeCell ref="D335:K335"/>
    <mergeCell ref="D336:K336"/>
    <mergeCell ref="D337:K337"/>
    <mergeCell ref="D338:K338"/>
    <mergeCell ref="D341:K341"/>
    <mergeCell ref="D370:K370"/>
    <mergeCell ref="D892:K892"/>
    <mergeCell ref="D893:K893"/>
    <mergeCell ref="D887:K887"/>
    <mergeCell ref="D902:K902"/>
    <mergeCell ref="D903:K903"/>
    <mergeCell ref="D904:K904"/>
    <mergeCell ref="D905:K905"/>
    <mergeCell ref="D906:K906"/>
    <mergeCell ref="D907:K907"/>
    <mergeCell ref="D900:K900"/>
    <mergeCell ref="D901:K901"/>
    <mergeCell ref="D886:K886"/>
    <mergeCell ref="D894:K894"/>
    <mergeCell ref="D895:K895"/>
    <mergeCell ref="D896:K896"/>
    <mergeCell ref="D897:K897"/>
    <mergeCell ref="D898:K898"/>
    <mergeCell ref="D899:K899"/>
    <mergeCell ref="D946:K946"/>
    <mergeCell ref="D947:K947"/>
    <mergeCell ref="D948:K948"/>
    <mergeCell ref="D949:K949"/>
    <mergeCell ref="D950:K950"/>
    <mergeCell ref="D951:K951"/>
    <mergeCell ref="D952:K952"/>
    <mergeCell ref="D953:K953"/>
    <mergeCell ref="D954:K954"/>
    <mergeCell ref="D955:K955"/>
    <mergeCell ref="D879:K879"/>
    <mergeCell ref="D881:K881"/>
    <mergeCell ref="D882:K882"/>
    <mergeCell ref="D883:K883"/>
    <mergeCell ref="D884:K884"/>
    <mergeCell ref="D885:K885"/>
    <mergeCell ref="D880:K880"/>
    <mergeCell ref="D929:K929"/>
    <mergeCell ref="D930:K930"/>
    <mergeCell ref="D931:K931"/>
    <mergeCell ref="D932:K932"/>
    <mergeCell ref="D933:K933"/>
    <mergeCell ref="D934:K934"/>
    <mergeCell ref="D935:K935"/>
    <mergeCell ref="D936:K936"/>
    <mergeCell ref="D918:K918"/>
    <mergeCell ref="D919:K919"/>
    <mergeCell ref="D924:K924"/>
    <mergeCell ref="D925:K925"/>
    <mergeCell ref="D926:K926"/>
    <mergeCell ref="D927:K927"/>
    <mergeCell ref="D928:K928"/>
    <mergeCell ref="D993:K993"/>
    <mergeCell ref="D986:K986"/>
    <mergeCell ref="D987:K987"/>
    <mergeCell ref="D988:K988"/>
    <mergeCell ref="D989:K989"/>
    <mergeCell ref="D990:K990"/>
    <mergeCell ref="D991:K991"/>
    <mergeCell ref="D992:K992"/>
    <mergeCell ref="D994:K994"/>
    <mergeCell ref="D995:K995"/>
    <mergeCell ref="D996:K996"/>
    <mergeCell ref="D997:K997"/>
    <mergeCell ref="D998:K998"/>
    <mergeCell ref="D999:K999"/>
    <mergeCell ref="D1000:K1000"/>
    <mergeCell ref="D984:K984"/>
    <mergeCell ref="D985:K985"/>
    <mergeCell ref="D920:K920"/>
    <mergeCell ref="D921:K921"/>
    <mergeCell ref="D888:K888"/>
    <mergeCell ref="D889:K889"/>
    <mergeCell ref="D890:K890"/>
    <mergeCell ref="D891:K891"/>
    <mergeCell ref="D915:K915"/>
    <mergeCell ref="D916:K916"/>
    <mergeCell ref="D917:K917"/>
    <mergeCell ref="D908:K908"/>
    <mergeCell ref="D909:K909"/>
    <mergeCell ref="D910:K910"/>
    <mergeCell ref="D911:K911"/>
    <mergeCell ref="D912:K912"/>
    <mergeCell ref="D913:K913"/>
    <mergeCell ref="D914:K914"/>
    <mergeCell ref="D922:K922"/>
    <mergeCell ref="D923:K923"/>
    <mergeCell ref="D847:K847"/>
    <mergeCell ref="D848:K848"/>
    <mergeCell ref="D849:K849"/>
    <mergeCell ref="D850:K850"/>
    <mergeCell ref="D851:K851"/>
    <mergeCell ref="D852:K852"/>
    <mergeCell ref="D853:K853"/>
    <mergeCell ref="D840:K840"/>
    <mergeCell ref="D841:K841"/>
    <mergeCell ref="D842:K842"/>
    <mergeCell ref="D843:K843"/>
    <mergeCell ref="D844:K844"/>
    <mergeCell ref="D845:K845"/>
    <mergeCell ref="D846:K846"/>
    <mergeCell ref="D808:K808"/>
    <mergeCell ref="D809:K809"/>
    <mergeCell ref="D810:K810"/>
    <mergeCell ref="D799:K799"/>
    <mergeCell ref="D800:K800"/>
    <mergeCell ref="D801:K801"/>
    <mergeCell ref="D802:K802"/>
    <mergeCell ref="D803:K803"/>
    <mergeCell ref="D804:K804"/>
    <mergeCell ref="D795:K795"/>
    <mergeCell ref="D796:K796"/>
    <mergeCell ref="D798:K798"/>
    <mergeCell ref="D805:K805"/>
    <mergeCell ref="D806:K806"/>
    <mergeCell ref="D807:K807"/>
    <mergeCell ref="D797:K797"/>
    <mergeCell ref="D819:K819"/>
    <mergeCell ref="D820:K820"/>
    <mergeCell ref="D812:K812"/>
    <mergeCell ref="D813:K813"/>
    <mergeCell ref="D814:K814"/>
    <mergeCell ref="D815:K815"/>
    <mergeCell ref="D816:K816"/>
    <mergeCell ref="D817:K817"/>
    <mergeCell ref="D818:K818"/>
    <mergeCell ref="D956:K956"/>
    <mergeCell ref="D957:K957"/>
    <mergeCell ref="D958:K958"/>
    <mergeCell ref="D959:K959"/>
    <mergeCell ref="D960:K960"/>
    <mergeCell ref="D961:K961"/>
    <mergeCell ref="D962:K962"/>
    <mergeCell ref="D963:K963"/>
    <mergeCell ref="D964:K964"/>
    <mergeCell ref="D965:K965"/>
    <mergeCell ref="D966:K966"/>
    <mergeCell ref="D967:K967"/>
    <mergeCell ref="D968:K968"/>
    <mergeCell ref="D969:K969"/>
    <mergeCell ref="D970:K970"/>
    <mergeCell ref="D971:K971"/>
    <mergeCell ref="D972:K972"/>
    <mergeCell ref="D973:K973"/>
    <mergeCell ref="D974:K974"/>
    <mergeCell ref="D975:K975"/>
    <mergeCell ref="D976:K976"/>
    <mergeCell ref="D977:K977"/>
    <mergeCell ref="D978:K978"/>
    <mergeCell ref="D979:K979"/>
    <mergeCell ref="D980:K980"/>
    <mergeCell ref="D981:K981"/>
    <mergeCell ref="D982:K982"/>
    <mergeCell ref="D983:K983"/>
    <mergeCell ref="D942:K942"/>
    <mergeCell ref="D943:K943"/>
    <mergeCell ref="D944:K944"/>
    <mergeCell ref="D945:K945"/>
    <mergeCell ref="D937:K937"/>
    <mergeCell ref="D938:K938"/>
    <mergeCell ref="D939:K939"/>
    <mergeCell ref="D940:K940"/>
    <mergeCell ref="D941:K941"/>
    <mergeCell ref="D828:K828"/>
    <mergeCell ref="D829:K829"/>
    <mergeCell ref="D821:K821"/>
    <mergeCell ref="D822:K822"/>
    <mergeCell ref="D823:K823"/>
    <mergeCell ref="D824:K824"/>
    <mergeCell ref="D825:K825"/>
    <mergeCell ref="D826:K826"/>
    <mergeCell ref="D827:K827"/>
    <mergeCell ref="D861:K861"/>
    <mergeCell ref="D862:K862"/>
    <mergeCell ref="D863:K863"/>
    <mergeCell ref="D864:K864"/>
    <mergeCell ref="D865:K865"/>
    <mergeCell ref="D866:K866"/>
    <mergeCell ref="D867:K867"/>
    <mergeCell ref="D874:K874"/>
    <mergeCell ref="D875:K875"/>
    <mergeCell ref="D876:K876"/>
    <mergeCell ref="D877:K877"/>
    <mergeCell ref="D878:K878"/>
    <mergeCell ref="D868:K868"/>
    <mergeCell ref="D869:K869"/>
    <mergeCell ref="D870:K870"/>
    <mergeCell ref="D871:K871"/>
    <mergeCell ref="D872:K872"/>
    <mergeCell ref="D873:K873"/>
    <mergeCell ref="D789:K789"/>
    <mergeCell ref="D790:K790"/>
    <mergeCell ref="D791:K791"/>
    <mergeCell ref="D792:K792"/>
    <mergeCell ref="D793:K793"/>
    <mergeCell ref="D794:K794"/>
    <mergeCell ref="D811:K811"/>
    <mergeCell ref="D854:K854"/>
    <mergeCell ref="D855:K855"/>
    <mergeCell ref="D856:K856"/>
    <mergeCell ref="D857:K857"/>
    <mergeCell ref="D858:K858"/>
    <mergeCell ref="D859:K859"/>
    <mergeCell ref="D860:K860"/>
    <mergeCell ref="D831:K831"/>
    <mergeCell ref="D832:K832"/>
    <mergeCell ref="D839:K839"/>
    <mergeCell ref="D834:K834"/>
    <mergeCell ref="D835:K835"/>
    <mergeCell ref="D836:K836"/>
    <mergeCell ref="D837:K837"/>
    <mergeCell ref="D838:K838"/>
    <mergeCell ref="D830:K830"/>
    <mergeCell ref="D833:K833"/>
    <mergeCell ref="D614:K614"/>
    <mergeCell ref="D615:K615"/>
    <mergeCell ref="D616:K616"/>
    <mergeCell ref="D617:K617"/>
    <mergeCell ref="D609:K609"/>
    <mergeCell ref="D610:K610"/>
    <mergeCell ref="D611:K611"/>
    <mergeCell ref="D618:K618"/>
    <mergeCell ref="D619:K619"/>
    <mergeCell ref="D620:K620"/>
    <mergeCell ref="D621:K621"/>
    <mergeCell ref="D529:K529"/>
    <mergeCell ref="D530:K530"/>
    <mergeCell ref="D536:K536"/>
    <mergeCell ref="D537:K537"/>
    <mergeCell ref="D538:K538"/>
    <mergeCell ref="D539:K539"/>
    <mergeCell ref="D526:K526"/>
    <mergeCell ref="D527:K527"/>
    <mergeCell ref="D528:K528"/>
    <mergeCell ref="D587:K587"/>
    <mergeCell ref="D588:K588"/>
    <mergeCell ref="D598:K598"/>
    <mergeCell ref="D599:K599"/>
    <mergeCell ref="D604:K604"/>
    <mergeCell ref="D605:K605"/>
    <mergeCell ref="D606:K606"/>
    <mergeCell ref="D607:K607"/>
    <mergeCell ref="D608:K608"/>
    <mergeCell ref="D591:K591"/>
    <mergeCell ref="D592:K592"/>
    <mergeCell ref="D577:K577"/>
    <mergeCell ref="D578:K578"/>
    <mergeCell ref="D593:K593"/>
    <mergeCell ref="D594:K594"/>
    <mergeCell ref="D586:K586"/>
    <mergeCell ref="D612:K612"/>
    <mergeCell ref="D613:K613"/>
    <mergeCell ref="D636:K636"/>
    <mergeCell ref="D637:K637"/>
    <mergeCell ref="D324:K324"/>
    <mergeCell ref="D325:K325"/>
    <mergeCell ref="D326:K326"/>
    <mergeCell ref="D327:K327"/>
    <mergeCell ref="D328:K328"/>
    <mergeCell ref="D329:K329"/>
    <mergeCell ref="D53:K53"/>
    <mergeCell ref="D54:K54"/>
    <mergeCell ref="D55:K55"/>
    <mergeCell ref="D56:K56"/>
    <mergeCell ref="D57:K57"/>
    <mergeCell ref="D58:K58"/>
    <mergeCell ref="D130:K130"/>
    <mergeCell ref="D131:K131"/>
    <mergeCell ref="D132:K132"/>
    <mergeCell ref="D133:K133"/>
    <mergeCell ref="D63:K63"/>
    <mergeCell ref="D64:K64"/>
    <mergeCell ref="D65:K65"/>
    <mergeCell ref="D66:K66"/>
    <mergeCell ref="D67:K67"/>
    <mergeCell ref="D68:K68"/>
    <mergeCell ref="D79:K79"/>
    <mergeCell ref="D80:K80"/>
    <mergeCell ref="D81:K81"/>
    <mergeCell ref="D82:K82"/>
    <mergeCell ref="D83:K83"/>
    <mergeCell ref="D84:K84"/>
    <mergeCell ref="D531:K531"/>
    <mergeCell ref="D532:K532"/>
    <mergeCell ref="D556:K556"/>
    <mergeCell ref="D557:K557"/>
    <mergeCell ref="D558:K558"/>
    <mergeCell ref="D559:K559"/>
    <mergeCell ref="D560:K560"/>
    <mergeCell ref="D561:K561"/>
    <mergeCell ref="D562:K562"/>
    <mergeCell ref="D563:K563"/>
    <mergeCell ref="D564:K564"/>
    <mergeCell ref="D565:K565"/>
    <mergeCell ref="D566:K566"/>
    <mergeCell ref="D567:K567"/>
    <mergeCell ref="D569:K569"/>
    <mergeCell ref="D572:K572"/>
    <mergeCell ref="D589:K589"/>
    <mergeCell ref="D590:K590"/>
    <mergeCell ref="D568:K568"/>
    <mergeCell ref="D579:K579"/>
    <mergeCell ref="D580:K580"/>
    <mergeCell ref="D581:K581"/>
    <mergeCell ref="D582:K582"/>
    <mergeCell ref="D595:K595"/>
    <mergeCell ref="D596:K596"/>
    <mergeCell ref="D694:K694"/>
    <mergeCell ref="D695:K695"/>
    <mergeCell ref="D696:K696"/>
    <mergeCell ref="D697:K697"/>
    <mergeCell ref="D477:K477"/>
    <mergeCell ref="D478:K478"/>
    <mergeCell ref="D479:K479"/>
    <mergeCell ref="D480:K480"/>
    <mergeCell ref="D501:K501"/>
    <mergeCell ref="D502:K502"/>
    <mergeCell ref="D503:K503"/>
    <mergeCell ref="D504:K504"/>
    <mergeCell ref="D505:K505"/>
    <mergeCell ref="D573:K573"/>
    <mergeCell ref="D574:K574"/>
    <mergeCell ref="D634:K634"/>
    <mergeCell ref="D635:K635"/>
    <mergeCell ref="D640:K640"/>
    <mergeCell ref="D641:K641"/>
    <mergeCell ref="D642:K642"/>
    <mergeCell ref="D643:K643"/>
    <mergeCell ref="D644:K644"/>
    <mergeCell ref="D693:K693"/>
    <mergeCell ref="D698:K698"/>
    <mergeCell ref="D647:K647"/>
    <mergeCell ref="D648:K648"/>
    <mergeCell ref="D649:K649"/>
    <mergeCell ref="D650:K650"/>
    <mergeCell ref="D651:K651"/>
    <mergeCell ref="D301:K301"/>
    <mergeCell ref="D302:K302"/>
    <mergeCell ref="D303:K303"/>
    <mergeCell ref="D304:K304"/>
    <mergeCell ref="D305:K305"/>
    <mergeCell ref="D306:K306"/>
    <mergeCell ref="D307:K307"/>
    <mergeCell ref="D308:K308"/>
    <mergeCell ref="D309:K309"/>
    <mergeCell ref="D310:K310"/>
    <mergeCell ref="D311:K311"/>
    <mergeCell ref="D312:K312"/>
    <mergeCell ref="D313:K313"/>
    <mergeCell ref="D314:K314"/>
    <mergeCell ref="D322:K322"/>
    <mergeCell ref="D323:K323"/>
    <mergeCell ref="D320:K320"/>
    <mergeCell ref="D321:K321"/>
    <mergeCell ref="D330:K330"/>
    <mergeCell ref="D331:K331"/>
    <mergeCell ref="D332:K332"/>
    <mergeCell ref="D333:K333"/>
    <mergeCell ref="D334:K334"/>
    <mergeCell ref="D575:K575"/>
    <mergeCell ref="D576:K576"/>
    <mergeCell ref="D584:K584"/>
    <mergeCell ref="D585:K585"/>
    <mergeCell ref="D602:K602"/>
    <mergeCell ref="D485:K485"/>
    <mergeCell ref="D486:K486"/>
    <mergeCell ref="D487:K487"/>
    <mergeCell ref="D488:K488"/>
    <mergeCell ref="D489:K489"/>
    <mergeCell ref="D490:K490"/>
    <mergeCell ref="D264:K264"/>
    <mergeCell ref="D266:K266"/>
    <mergeCell ref="D265:K265"/>
    <mergeCell ref="D295:K295"/>
    <mergeCell ref="D296:K296"/>
    <mergeCell ref="D297:K297"/>
    <mergeCell ref="D298:K298"/>
    <mergeCell ref="D299:K299"/>
    <mergeCell ref="D300:K300"/>
    <mergeCell ref="D315:K315"/>
    <mergeCell ref="D316:K316"/>
    <mergeCell ref="D317:K317"/>
    <mergeCell ref="D318:K318"/>
    <mergeCell ref="D319:K319"/>
    <mergeCell ref="D78:K78"/>
    <mergeCell ref="D70:K70"/>
    <mergeCell ref="D60:K60"/>
    <mergeCell ref="D61:K61"/>
    <mergeCell ref="D134:K134"/>
    <mergeCell ref="D135:K135"/>
    <mergeCell ref="D127:K127"/>
    <mergeCell ref="D128:K128"/>
    <mergeCell ref="D129:K129"/>
    <mergeCell ref="D248:K248"/>
    <mergeCell ref="D241:K241"/>
    <mergeCell ref="D244:K244"/>
    <mergeCell ref="D245:K245"/>
    <mergeCell ref="D242:K242"/>
    <mergeCell ref="D243:K243"/>
    <mergeCell ref="D435:K435"/>
    <mergeCell ref="D436:K436"/>
    <mergeCell ref="D437:K437"/>
    <mergeCell ref="D438:K438"/>
    <mergeCell ref="D439:K439"/>
    <mergeCell ref="D440:K440"/>
    <mergeCell ref="D441:K441"/>
    <mergeCell ref="D428:K428"/>
    <mergeCell ref="D429:K429"/>
    <mergeCell ref="D430:K430"/>
    <mergeCell ref="D431:K431"/>
    <mergeCell ref="D432:K432"/>
    <mergeCell ref="D433:K433"/>
    <mergeCell ref="D434:K434"/>
    <mergeCell ref="D442:K442"/>
    <mergeCell ref="D443:K443"/>
    <mergeCell ref="D263:K263"/>
    <mergeCell ref="D258:K258"/>
    <mergeCell ref="D259:K259"/>
    <mergeCell ref="D260:K260"/>
    <mergeCell ref="D261:K261"/>
    <mergeCell ref="D262:K262"/>
    <mergeCell ref="D59:K59"/>
    <mergeCell ref="D787:K787"/>
    <mergeCell ref="D788:K788"/>
    <mergeCell ref="D597:K597"/>
    <mergeCell ref="L1:L1000"/>
    <mergeCell ref="D600:K600"/>
    <mergeCell ref="D601:K601"/>
    <mergeCell ref="D47:K47"/>
    <mergeCell ref="D672:K672"/>
    <mergeCell ref="A1:A1000"/>
    <mergeCell ref="D692:K692"/>
    <mergeCell ref="D721:K721"/>
    <mergeCell ref="D766:K766"/>
    <mergeCell ref="D767:K767"/>
    <mergeCell ref="D777:K777"/>
    <mergeCell ref="D778:K778"/>
    <mergeCell ref="D779:K779"/>
    <mergeCell ref="D780:K780"/>
    <mergeCell ref="D781:K781"/>
    <mergeCell ref="D782:K782"/>
    <mergeCell ref="D783:K783"/>
    <mergeCell ref="D784:K784"/>
    <mergeCell ref="D785:K785"/>
    <mergeCell ref="D786:K786"/>
    <mergeCell ref="D688:K688"/>
    <mergeCell ref="D689:K689"/>
    <mergeCell ref="D690:K690"/>
    <mergeCell ref="D691:K691"/>
    <mergeCell ref="D699:K699"/>
    <mergeCell ref="D700:K700"/>
    <mergeCell ref="D684:K684"/>
    <mergeCell ref="D685:K685"/>
    <mergeCell ref="D701:K701"/>
    <mergeCell ref="D702:K702"/>
    <mergeCell ref="D703:K703"/>
    <mergeCell ref="D704:K704"/>
    <mergeCell ref="D705:K705"/>
    <mergeCell ref="D706:K706"/>
    <mergeCell ref="D707:K707"/>
    <mergeCell ref="D708:K708"/>
    <mergeCell ref="D709:K709"/>
    <mergeCell ref="D710:K710"/>
    <mergeCell ref="D711:K711"/>
    <mergeCell ref="D712:K712"/>
    <mergeCell ref="D725:K725"/>
    <mergeCell ref="D726:K726"/>
    <mergeCell ref="D727:K727"/>
    <mergeCell ref="D728:K728"/>
    <mergeCell ref="D715:K715"/>
    <mergeCell ref="D716:K716"/>
    <mergeCell ref="D731:K731"/>
    <mergeCell ref="D732:K732"/>
    <mergeCell ref="D733:K733"/>
    <mergeCell ref="D734:K734"/>
    <mergeCell ref="D735:K735"/>
    <mergeCell ref="D736:K736"/>
    <mergeCell ref="D737:K737"/>
    <mergeCell ref="D686:K686"/>
    <mergeCell ref="D687:K687"/>
    <mergeCell ref="D717:K717"/>
    <mergeCell ref="D718:K718"/>
    <mergeCell ref="D765:K765"/>
    <mergeCell ref="D768:K768"/>
    <mergeCell ref="D771:K771"/>
    <mergeCell ref="D772:K772"/>
    <mergeCell ref="D773:K773"/>
    <mergeCell ref="D774:K774"/>
    <mergeCell ref="D760:K760"/>
    <mergeCell ref="D761:K761"/>
    <mergeCell ref="D762:K762"/>
    <mergeCell ref="D763:K763"/>
    <mergeCell ref="D764:K764"/>
    <mergeCell ref="D775:K775"/>
    <mergeCell ref="D776:K776"/>
    <mergeCell ref="D745:K745"/>
    <mergeCell ref="D746:K746"/>
    <mergeCell ref="D747:K747"/>
    <mergeCell ref="D748:K748"/>
    <mergeCell ref="D749:K749"/>
    <mergeCell ref="D750:K750"/>
    <mergeCell ref="D742:K742"/>
    <mergeCell ref="D743:K743"/>
    <mergeCell ref="D738:K738"/>
    <mergeCell ref="D739:K739"/>
    <mergeCell ref="D740:K740"/>
    <mergeCell ref="D741:K741"/>
    <mergeCell ref="D752:K752"/>
    <mergeCell ref="D751:K751"/>
    <mergeCell ref="D744:K744"/>
    <mergeCell ref="D753:K753"/>
    <mergeCell ref="D754:K754"/>
    <mergeCell ref="D755:K755"/>
    <mergeCell ref="D756:K756"/>
    <mergeCell ref="D757:K757"/>
    <mergeCell ref="D758:K758"/>
    <mergeCell ref="D759:K759"/>
    <mergeCell ref="D769:K769"/>
    <mergeCell ref="D770:K770"/>
    <mergeCell ref="D481:K481"/>
    <mergeCell ref="D482:K482"/>
    <mergeCell ref="D483:K483"/>
    <mergeCell ref="D484:K484"/>
    <mergeCell ref="D491:K491"/>
    <mergeCell ref="D492:K492"/>
    <mergeCell ref="D493:K493"/>
    <mergeCell ref="D494:K494"/>
    <mergeCell ref="D495:K495"/>
    <mergeCell ref="D496:K496"/>
    <mergeCell ref="D497:K497"/>
    <mergeCell ref="D498:K498"/>
    <mergeCell ref="D499:K499"/>
    <mergeCell ref="D500:K500"/>
    <mergeCell ref="D513:K513"/>
    <mergeCell ref="D514:K514"/>
    <mergeCell ref="D506:K506"/>
    <mergeCell ref="D507:K507"/>
    <mergeCell ref="D508:K508"/>
    <mergeCell ref="D509:K509"/>
    <mergeCell ref="D510:K510"/>
    <mergeCell ref="D511:K511"/>
    <mergeCell ref="D512:K512"/>
    <mergeCell ref="D515:K515"/>
    <mergeCell ref="D516:K516"/>
    <mergeCell ref="D517:K517"/>
    <mergeCell ref="D518:K518"/>
    <mergeCell ref="D519:K519"/>
    <mergeCell ref="D520:K520"/>
    <mergeCell ref="D521:K521"/>
    <mergeCell ref="D522:K522"/>
    <mergeCell ref="D523:K523"/>
    <mergeCell ref="D524:K524"/>
    <mergeCell ref="D525:K525"/>
    <mergeCell ref="D533:K533"/>
    <mergeCell ref="D534:K534"/>
    <mergeCell ref="D535:K535"/>
    <mergeCell ref="D625:K625"/>
    <mergeCell ref="D626:K626"/>
    <mergeCell ref="D627:K627"/>
    <mergeCell ref="D628:K628"/>
    <mergeCell ref="D629:K629"/>
    <mergeCell ref="D630:K630"/>
    <mergeCell ref="D622:K622"/>
    <mergeCell ref="D623:K623"/>
    <mergeCell ref="D624:K624"/>
    <mergeCell ref="D719:K719"/>
    <mergeCell ref="D720:K720"/>
    <mergeCell ref="D713:K713"/>
    <mergeCell ref="D714:K714"/>
    <mergeCell ref="D729:K729"/>
    <mergeCell ref="D730:K730"/>
    <mergeCell ref="D722:K722"/>
    <mergeCell ref="D723:K723"/>
    <mergeCell ref="D724:K724"/>
  </mergeCells>
  <drawing r:id="rId1"/>
</worksheet>
</file>